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0" yWindow="75" windowWidth="12120" windowHeight="7380"/>
  </bookViews>
  <sheets>
    <sheet name="July 15" sheetId="35" r:id="rId1"/>
    <sheet name="June 25" sheetId="36" r:id="rId2"/>
    <sheet name="June 1" sheetId="34" r:id="rId3"/>
    <sheet name="May 23" sheetId="32" r:id="rId4"/>
    <sheet name="May 1" sheetId="33" r:id="rId5"/>
    <sheet name="April 1" sheetId="30" r:id="rId6"/>
    <sheet name="Mar 15" sheetId="28" r:id="rId7"/>
    <sheet name="Mar 1" sheetId="29" r:id="rId8"/>
    <sheet name="Feb 15" sheetId="26" r:id="rId9"/>
    <sheet name="Feb 1" sheetId="27" r:id="rId10"/>
    <sheet name="Jan 1" sheetId="24" r:id="rId11"/>
    <sheet name="Dec 1" sheetId="25" r:id="rId12"/>
    <sheet name="Oct 15" sheetId="23" r:id="rId13"/>
    <sheet name="July-Sept 2013 " sheetId="19" r:id="rId14"/>
    <sheet name="March 2013" sheetId="21" r:id="rId15"/>
    <sheet name="Dec-Feb 2012-13  " sheetId="20" r:id="rId16"/>
    <sheet name="Nov 2012" sheetId="22" r:id="rId17"/>
  </sheets>
  <definedNames>
    <definedName name="_xlnm._FilterDatabase" localSheetId="5" hidden="1">'April 1'!$B$5:$BN$10</definedName>
    <definedName name="_xlnm._FilterDatabase" localSheetId="11" hidden="1">'Dec 1'!$A$23:$F$41</definedName>
    <definedName name="_xlnm._FilterDatabase" localSheetId="15" hidden="1">'Dec-Feb 2012-13  '!$A$5:$BJ$21</definedName>
    <definedName name="_xlnm._FilterDatabase" localSheetId="9" hidden="1">'Feb 1'!$A$33:$F$51</definedName>
    <definedName name="_xlnm._FilterDatabase" localSheetId="8" hidden="1">'Feb 15'!$B$5:$BN$22</definedName>
    <definedName name="_xlnm._FilterDatabase" localSheetId="10" hidden="1">'Jan 1'!$A$22:$F$40</definedName>
    <definedName name="_xlnm._FilterDatabase" localSheetId="0" hidden="1">'July 15'!$B$5:$BS$12</definedName>
    <definedName name="_xlnm._FilterDatabase" localSheetId="13" hidden="1">'July-Sept 2013 '!$A$5:$BJ$20</definedName>
    <definedName name="_xlnm._FilterDatabase" localSheetId="2" hidden="1">'June 1'!$B$5:$BM$16</definedName>
    <definedName name="_xlnm._FilterDatabase" localSheetId="1" hidden="1">'June 25'!$B$5:$BS$14</definedName>
    <definedName name="_xlnm._FilterDatabase" localSheetId="7" hidden="1">'Mar 1'!$B$5:$BN$19</definedName>
    <definedName name="_xlnm._FilterDatabase" localSheetId="6" hidden="1">'Mar 15'!$B$5:$BN$13</definedName>
    <definedName name="_xlnm._FilterDatabase" localSheetId="14" hidden="1">'March 2013'!$A$5:$BI$9</definedName>
    <definedName name="_xlnm._FilterDatabase" localSheetId="4" hidden="1">'May 1'!$A$5:$BN$15</definedName>
    <definedName name="_xlnm._FilterDatabase" localSheetId="3" hidden="1">'May 23'!$A$5:$BM$15</definedName>
    <definedName name="_xlnm._FilterDatabase" localSheetId="16" hidden="1">'Nov 2012'!$A$5:$BC$5</definedName>
    <definedName name="_xlnm._FilterDatabase" localSheetId="12" hidden="1">'Oct 15'!$A$5:$BJ$20</definedName>
    <definedName name="_xlnm.Print_Area" localSheetId="5">'April 1'!$B$5:$N$5</definedName>
    <definedName name="_xlnm.Print_Area" localSheetId="11">'Dec 1'!#REF!</definedName>
    <definedName name="_xlnm.Print_Area" localSheetId="15">'Dec-Feb 2012-13  '!#REF!</definedName>
    <definedName name="_xlnm.Print_Area" localSheetId="9">'Feb 1'!#REF!</definedName>
    <definedName name="_xlnm.Print_Area" localSheetId="8">'Feb 15'!$B$5:$N$22</definedName>
    <definedName name="_xlnm.Print_Area" localSheetId="10">'Jan 1'!#REF!</definedName>
    <definedName name="_xlnm.Print_Area" localSheetId="0">'July 15'!$B$4:$E$12</definedName>
    <definedName name="_xlnm.Print_Area" localSheetId="13">'July-Sept 2013 '!#REF!</definedName>
    <definedName name="_xlnm.Print_Area" localSheetId="2">'June 1'!$B$4:$E$16</definedName>
    <definedName name="_xlnm.Print_Area" localSheetId="1">'June 25'!$B$4:$E$14</definedName>
    <definedName name="_xlnm.Print_Area" localSheetId="7">'Mar 1'!$B$5:$N$19</definedName>
    <definedName name="_xlnm.Print_Area" localSheetId="6">'Mar 15'!$B$5:$N$7</definedName>
    <definedName name="_xlnm.Print_Area" localSheetId="14">'March 2013'!#REF!</definedName>
    <definedName name="_xlnm.Print_Area" localSheetId="4">'May 1'!$B$5:$N$5</definedName>
    <definedName name="_xlnm.Print_Area" localSheetId="3">'May 23'!$B$5:$M$5</definedName>
    <definedName name="_xlnm.Print_Area" localSheetId="16">'Nov 2012'!#REF!</definedName>
    <definedName name="_xlnm.Print_Area" localSheetId="12">'Oct 15'!#REF!</definedName>
    <definedName name="_xlnm.Print_Titles" localSheetId="5">'April 1'!$1:$5</definedName>
    <definedName name="_xlnm.Print_Titles" localSheetId="11">'Dec 1'!$1:$5</definedName>
    <definedName name="_xlnm.Print_Titles" localSheetId="15">'Dec-Feb 2012-13  '!$1:$5</definedName>
    <definedName name="_xlnm.Print_Titles" localSheetId="9">'Feb 1'!$1:$5</definedName>
    <definedName name="_xlnm.Print_Titles" localSheetId="8">'Feb 15'!$1:$5</definedName>
    <definedName name="_xlnm.Print_Titles" localSheetId="10">'Jan 1'!$1:$5</definedName>
    <definedName name="_xlnm.Print_Titles" localSheetId="0">'July 15'!$1:$5</definedName>
    <definedName name="_xlnm.Print_Titles" localSheetId="13">'July-Sept 2013 '!$1:$5</definedName>
    <definedName name="_xlnm.Print_Titles" localSheetId="2">'June 1'!$1:$5</definedName>
    <definedName name="_xlnm.Print_Titles" localSheetId="1">'June 25'!$1:$5</definedName>
    <definedName name="_xlnm.Print_Titles" localSheetId="7">'Mar 1'!$1:$5</definedName>
    <definedName name="_xlnm.Print_Titles" localSheetId="6">'Mar 15'!$1:$5</definedName>
    <definedName name="_xlnm.Print_Titles" localSheetId="14">'March 2013'!$1:$5</definedName>
    <definedName name="_xlnm.Print_Titles" localSheetId="4">'May 1'!$1:$5</definedName>
    <definedName name="_xlnm.Print_Titles" localSheetId="3">'May 23'!$1:$5</definedName>
    <definedName name="_xlnm.Print_Titles" localSheetId="16">'Nov 2012'!$1:$5</definedName>
    <definedName name="_xlnm.Print_Titles" localSheetId="12">'Oct 15'!$1:$5</definedName>
  </definedNames>
  <calcPr calcId="125725"/>
</workbook>
</file>

<file path=xl/calcChain.xml><?xml version="1.0" encoding="utf-8"?>
<calcChain xmlns="http://schemas.openxmlformats.org/spreadsheetml/2006/main">
  <c r="BM13" i="36"/>
  <c r="BH13"/>
  <c r="BN13" s="1"/>
  <c r="BG13"/>
  <c r="BB13"/>
  <c r="AP13"/>
  <c r="BS12"/>
  <c r="BN12"/>
  <c r="BM12"/>
  <c r="BG12"/>
  <c r="AW12"/>
  <c r="AP12"/>
  <c r="BM11"/>
  <c r="BH11"/>
  <c r="BN11" s="1"/>
  <c r="BG11"/>
  <c r="AP11"/>
  <c r="BM10"/>
  <c r="BH10"/>
  <c r="BN10" s="1"/>
  <c r="BG10"/>
  <c r="BB10"/>
  <c r="AP10"/>
  <c r="BN9"/>
  <c r="BM9"/>
  <c r="BH9"/>
  <c r="BG9"/>
  <c r="BB9"/>
  <c r="AP9"/>
  <c r="BM8"/>
  <c r="BH8"/>
  <c r="BN8" s="1"/>
  <c r="BG8"/>
  <c r="BC8"/>
  <c r="BB8"/>
  <c r="AP8"/>
  <c r="BM7"/>
  <c r="BH7"/>
  <c r="BN7" s="1"/>
  <c r="BG7"/>
  <c r="BB7"/>
  <c r="AP7"/>
  <c r="BN6"/>
  <c r="BM6"/>
  <c r="BH6"/>
  <c r="BG6"/>
  <c r="BB6"/>
  <c r="AP6"/>
  <c r="BN6" i="35" l="1"/>
  <c r="BM6"/>
  <c r="BG6"/>
  <c r="AP7" l="1"/>
  <c r="AP8"/>
  <c r="AP9"/>
  <c r="AP10"/>
  <c r="AP11"/>
  <c r="AP6" l="1"/>
  <c r="BM11" l="1"/>
  <c r="BH11"/>
  <c r="BN11" s="1"/>
  <c r="BG11"/>
  <c r="BB11"/>
  <c r="BM10"/>
  <c r="BH10"/>
  <c r="BN10" s="1"/>
  <c r="BG10"/>
  <c r="BN7"/>
  <c r="BM7"/>
  <c r="BH7"/>
  <c r="BG7"/>
  <c r="BN9" l="1"/>
  <c r="BM9"/>
  <c r="BH9"/>
  <c r="BG9"/>
  <c r="BN8"/>
  <c r="BM8"/>
  <c r="BG8"/>
  <c r="AH29" i="22" l="1"/>
  <c r="AH28"/>
  <c r="AH27"/>
  <c r="AH26"/>
  <c r="AH25"/>
  <c r="AH24"/>
  <c r="AH22"/>
  <c r="AH21"/>
  <c r="AH18"/>
  <c r="AH17"/>
  <c r="AH16"/>
  <c r="AH15"/>
  <c r="AH14"/>
  <c r="AH13"/>
  <c r="AH12"/>
  <c r="AH11"/>
  <c r="AN21" i="20"/>
  <c r="AN20"/>
  <c r="AN19"/>
  <c r="AN18"/>
  <c r="AN17"/>
  <c r="AN16"/>
  <c r="AN15"/>
  <c r="AN14"/>
  <c r="AN13"/>
  <c r="AN12"/>
  <c r="AN11"/>
  <c r="AN10"/>
  <c r="AN9"/>
  <c r="AN8"/>
  <c r="AN7"/>
  <c r="AN6"/>
  <c r="AN9" i="21"/>
  <c r="AN8"/>
  <c r="AN7"/>
  <c r="AN6"/>
  <c r="AL27" i="19"/>
  <c r="AL26"/>
  <c r="AL25"/>
  <c r="AL24"/>
  <c r="AL23"/>
  <c r="AL22"/>
  <c r="BD21"/>
  <c r="BC21"/>
  <c r="AW21"/>
  <c r="AR21"/>
  <c r="AL21"/>
  <c r="BD20"/>
  <c r="BC20"/>
  <c r="AW20"/>
  <c r="AR20"/>
  <c r="AL20"/>
  <c r="BD19"/>
  <c r="BC19"/>
  <c r="AW19"/>
  <c r="AR19"/>
  <c r="AL19"/>
  <c r="BD18"/>
  <c r="BC18"/>
  <c r="AW18"/>
  <c r="AR18"/>
  <c r="AL18"/>
  <c r="BD17"/>
  <c r="BC17"/>
  <c r="AW17"/>
  <c r="AR17"/>
  <c r="AL17"/>
  <c r="BD16"/>
  <c r="BC16"/>
  <c r="AW16"/>
  <c r="AR16"/>
  <c r="AL16"/>
  <c r="BD15"/>
  <c r="BC15"/>
  <c r="AW15"/>
  <c r="AR15"/>
  <c r="AL15"/>
  <c r="BD14"/>
  <c r="BC14"/>
  <c r="AW14"/>
  <c r="AR14"/>
  <c r="AL14"/>
  <c r="BD13"/>
  <c r="BC13"/>
  <c r="AW13"/>
  <c r="AR13"/>
  <c r="AL13"/>
  <c r="BD12"/>
  <c r="BC12"/>
  <c r="AW12"/>
  <c r="AR12"/>
  <c r="AL12"/>
  <c r="BD11"/>
  <c r="BC11"/>
  <c r="AW11"/>
  <c r="AR11"/>
  <c r="AL11"/>
  <c r="BD10"/>
  <c r="BC10"/>
  <c r="AW10"/>
  <c r="AR10"/>
  <c r="AL10"/>
  <c r="BD9"/>
  <c r="BC9"/>
  <c r="AW9"/>
  <c r="AR9"/>
  <c r="AL9"/>
  <c r="BD8"/>
  <c r="BC8"/>
  <c r="AW8"/>
  <c r="AR8"/>
  <c r="AL8"/>
  <c r="BD7"/>
  <c r="BC7"/>
  <c r="AW7"/>
  <c r="AR7"/>
  <c r="AL7"/>
  <c r="AL6"/>
  <c r="AL6" i="23" l="1"/>
  <c r="AM16" i="25"/>
  <c r="AM15"/>
  <c r="BE8" s="1"/>
  <c r="BD8"/>
  <c r="AX8"/>
  <c r="AS8"/>
  <c r="AM8"/>
  <c r="BE7"/>
  <c r="BD7"/>
  <c r="AX7"/>
  <c r="AS7"/>
  <c r="AM7"/>
  <c r="BE6" s="1"/>
  <c r="BD6"/>
  <c r="AY6"/>
  <c r="AX6"/>
  <c r="AM6" l="1"/>
  <c r="BG7" i="24" l="1"/>
  <c r="BF7" l="1"/>
  <c r="BA7"/>
  <c r="AZ7"/>
  <c r="AO7"/>
  <c r="BG6" s="1"/>
  <c r="BF6"/>
  <c r="BA6"/>
  <c r="AZ6"/>
  <c r="AO6"/>
  <c r="BH18" i="27" l="1"/>
  <c r="BG18"/>
  <c r="BA18"/>
  <c r="AP18"/>
  <c r="BH17"/>
  <c r="BG17"/>
  <c r="BB17"/>
  <c r="BA17"/>
  <c r="AP17"/>
  <c r="BH16" s="1"/>
  <c r="BG16"/>
  <c r="BB16"/>
  <c r="BA16"/>
  <c r="AP16"/>
  <c r="BH15"/>
  <c r="BG15"/>
  <c r="BA15"/>
  <c r="AP15"/>
  <c r="BH14" s="1"/>
  <c r="BG14"/>
  <c r="BB14"/>
  <c r="BA14"/>
  <c r="AV14"/>
  <c r="AP14"/>
  <c r="BH13"/>
  <c r="BG13"/>
  <c r="BB13"/>
  <c r="BA13"/>
  <c r="AV13"/>
  <c r="AP13"/>
  <c r="BH12" s="1"/>
  <c r="BG12"/>
  <c r="BB12"/>
  <c r="BA12"/>
  <c r="AW12"/>
  <c r="AV12"/>
  <c r="AP12"/>
  <c r="BH11" s="1"/>
  <c r="BG11"/>
  <c r="BB11"/>
  <c r="BA11"/>
  <c r="AW11"/>
  <c r="AV11"/>
  <c r="AP11"/>
  <c r="BH10" s="1"/>
  <c r="BG10"/>
  <c r="BB10" s="1"/>
  <c r="BA10"/>
  <c r="AW10"/>
  <c r="AV10"/>
  <c r="AP10"/>
  <c r="BH9"/>
  <c r="BG9"/>
  <c r="BB9"/>
  <c r="BA9"/>
  <c r="AP9"/>
  <c r="BH8"/>
  <c r="BG8"/>
  <c r="BA8"/>
  <c r="AP8"/>
  <c r="BH7"/>
  <c r="BG7"/>
  <c r="BB7"/>
  <c r="BA7"/>
  <c r="AP7"/>
  <c r="BH6" s="1"/>
  <c r="BG6"/>
  <c r="BB6"/>
  <c r="BA6"/>
  <c r="AP6"/>
  <c r="BI22" i="26" l="1"/>
  <c r="BH22"/>
  <c r="BB22"/>
  <c r="AQ22" l="1"/>
  <c r="BI21" s="1"/>
  <c r="BH21"/>
  <c r="BC21"/>
  <c r="BB21"/>
  <c r="AW21"/>
  <c r="AQ21" l="1"/>
  <c r="BI20"/>
  <c r="BH20"/>
  <c r="BC20"/>
  <c r="BB20"/>
  <c r="AW20"/>
  <c r="AQ20"/>
  <c r="BI19" s="1"/>
  <c r="BH19"/>
  <c r="BC19"/>
  <c r="BB19"/>
  <c r="AW19"/>
  <c r="AQ19"/>
  <c r="BI18" s="1"/>
  <c r="BH18"/>
  <c r="BC18"/>
  <c r="BB18"/>
  <c r="AW18"/>
  <c r="AQ18"/>
  <c r="BI17" s="1"/>
  <c r="BH17"/>
  <c r="BC17"/>
  <c r="BB17"/>
  <c r="AW17"/>
  <c r="AQ17"/>
  <c r="BI16" s="1"/>
  <c r="BH16"/>
  <c r="BC16"/>
  <c r="BB16"/>
  <c r="AW16"/>
  <c r="AQ16"/>
  <c r="BI15" s="1"/>
  <c r="BH15"/>
  <c r="BC15"/>
  <c r="BB15"/>
  <c r="AW15"/>
  <c r="AQ15"/>
  <c r="BI14" s="1"/>
  <c r="BH14"/>
  <c r="BC14"/>
  <c r="BB14"/>
  <c r="AW14"/>
  <c r="BI13"/>
  <c r="BH13"/>
  <c r="BB13"/>
  <c r="AQ13"/>
  <c r="BI12" s="1"/>
  <c r="BH12"/>
  <c r="BC12"/>
  <c r="BB12"/>
  <c r="AW12"/>
  <c r="AQ12"/>
  <c r="BI11" s="1"/>
  <c r="BH11"/>
  <c r="BC11"/>
  <c r="BB11"/>
  <c r="AW11"/>
  <c r="AQ11"/>
  <c r="BI10" s="1"/>
  <c r="BH10"/>
  <c r="BC10"/>
  <c r="BB10"/>
  <c r="AW10"/>
  <c r="AQ10"/>
  <c r="BI9"/>
  <c r="BH9"/>
  <c r="BC9"/>
  <c r="BB9"/>
  <c r="AQ9"/>
  <c r="BI8" s="1"/>
  <c r="BH8"/>
  <c r="BC8"/>
  <c r="BB8"/>
  <c r="AW8"/>
  <c r="AQ8"/>
  <c r="BI7"/>
  <c r="BH7"/>
  <c r="BB7"/>
  <c r="AW7"/>
  <c r="AQ7"/>
  <c r="BI6" s="1"/>
  <c r="BH6"/>
  <c r="BC6"/>
  <c r="BB6"/>
  <c r="AQ6"/>
  <c r="BI19" i="29"/>
  <c r="BH19"/>
  <c r="BB19"/>
  <c r="AQ19"/>
  <c r="BI18" s="1"/>
  <c r="BH18"/>
  <c r="BC18"/>
  <c r="BB18"/>
  <c r="AW18"/>
  <c r="AQ18"/>
  <c r="BI17"/>
  <c r="BH17"/>
  <c r="BC17"/>
  <c r="BB17"/>
  <c r="AW17"/>
  <c r="AQ17"/>
  <c r="BI16" s="1"/>
  <c r="BH16"/>
  <c r="BC16"/>
  <c r="BB16"/>
  <c r="AW16"/>
  <c r="AQ16"/>
  <c r="BI15"/>
  <c r="BH15"/>
  <c r="BC15"/>
  <c r="BB15"/>
  <c r="AW15"/>
  <c r="AQ15"/>
  <c r="BI14"/>
  <c r="BH14"/>
  <c r="BB14"/>
  <c r="AQ14"/>
  <c r="BI13"/>
  <c r="BH13"/>
  <c r="BB13"/>
  <c r="AQ13"/>
  <c r="BI12"/>
  <c r="BH12"/>
  <c r="BB12"/>
  <c r="AQ12"/>
  <c r="BI11"/>
  <c r="BH11"/>
  <c r="BB11"/>
  <c r="AQ11"/>
  <c r="BI10"/>
  <c r="BH10"/>
  <c r="BB10"/>
  <c r="AQ10"/>
  <c r="BI9" s="1"/>
  <c r="BH9"/>
  <c r="BC9"/>
  <c r="BB9"/>
  <c r="AW9"/>
  <c r="AQ9"/>
  <c r="BI8" s="1"/>
  <c r="BH8"/>
  <c r="BC8" s="1"/>
  <c r="BB8"/>
  <c r="AX8"/>
  <c r="AW8"/>
  <c r="AQ8"/>
  <c r="BI7" s="1"/>
  <c r="BH7"/>
  <c r="BC7"/>
  <c r="BB7"/>
  <c r="AW7"/>
  <c r="AQ7"/>
  <c r="BI6"/>
  <c r="BH6"/>
  <c r="BB6"/>
  <c r="AQ6"/>
  <c r="BI13" i="28" s="1"/>
  <c r="BH13" l="1"/>
  <c r="BC13"/>
  <c r="BB13"/>
  <c r="BI12" s="1"/>
  <c r="BH12"/>
  <c r="BC12"/>
  <c r="BB12"/>
  <c r="AW12"/>
  <c r="AQ12"/>
  <c r="BI11" s="1"/>
  <c r="BH11"/>
  <c r="BC11"/>
  <c r="BB11"/>
  <c r="AW11"/>
  <c r="AQ11"/>
  <c r="BI10" s="1"/>
  <c r="BH10"/>
  <c r="BC10"/>
  <c r="BB10"/>
  <c r="AW10"/>
  <c r="AQ10"/>
  <c r="BI9" s="1"/>
  <c r="BH9"/>
  <c r="BC9" s="1"/>
  <c r="BB9"/>
  <c r="AX9"/>
  <c r="AW9"/>
  <c r="AQ9"/>
  <c r="BI8" s="1"/>
  <c r="BH8"/>
  <c r="BC8"/>
  <c r="BB8"/>
  <c r="AQ8"/>
  <c r="BI7" s="1"/>
  <c r="BH7"/>
  <c r="BC7"/>
  <c r="BB7"/>
  <c r="AW7"/>
  <c r="AQ7"/>
  <c r="BI6"/>
  <c r="BH6"/>
  <c r="BB6"/>
  <c r="AQ6" l="1"/>
  <c r="BI12" i="30" l="1"/>
  <c r="BH12"/>
  <c r="BC12"/>
  <c r="BB12"/>
  <c r="BI11" s="1"/>
  <c r="BH11"/>
  <c r="BC11"/>
  <c r="BB11"/>
  <c r="BI10" s="1"/>
  <c r="BH10"/>
  <c r="BC10"/>
  <c r="BB10"/>
  <c r="BI9" s="1"/>
  <c r="BH9"/>
  <c r="BC9"/>
  <c r="BB9"/>
  <c r="BI8" s="1"/>
  <c r="BH8"/>
  <c r="BC8"/>
  <c r="BB8"/>
  <c r="AW8"/>
  <c r="BI7" s="1"/>
  <c r="BH7"/>
  <c r="BC7"/>
  <c r="BB7"/>
  <c r="AW7"/>
  <c r="BI6"/>
  <c r="BH6"/>
  <c r="BB6"/>
  <c r="BI15" i="33" s="1"/>
  <c r="BH15" l="1"/>
  <c r="BC15"/>
  <c r="BB15"/>
  <c r="AW15"/>
  <c r="AQ15"/>
  <c r="BI14"/>
  <c r="BH14"/>
  <c r="BC14"/>
  <c r="BB14"/>
  <c r="AW14"/>
  <c r="AQ14"/>
  <c r="BI13" s="1"/>
  <c r="BH13"/>
  <c r="BC13"/>
  <c r="BB13"/>
  <c r="AW13"/>
  <c r="AQ13"/>
  <c r="BI12"/>
  <c r="BH12"/>
  <c r="BC12"/>
  <c r="BB12"/>
  <c r="AQ12"/>
  <c r="BI11"/>
  <c r="BH11"/>
  <c r="BC11"/>
  <c r="BB11"/>
  <c r="AW11"/>
  <c r="AQ11"/>
  <c r="BI10" s="1"/>
  <c r="BH10"/>
  <c r="BC10"/>
  <c r="BB10"/>
  <c r="AQ10"/>
  <c r="BI9"/>
  <c r="BH9"/>
  <c r="BC9"/>
  <c r="BB9"/>
  <c r="AW9"/>
  <c r="AQ9"/>
  <c r="BI8"/>
  <c r="BH8"/>
  <c r="BB8"/>
  <c r="AQ8"/>
  <c r="BI7"/>
  <c r="BH7"/>
  <c r="BB7"/>
  <c r="AQ7"/>
  <c r="BI6"/>
  <c r="BH6"/>
  <c r="BB6"/>
  <c r="AQ6"/>
  <c r="BH15" i="32" l="1"/>
  <c r="BG15"/>
  <c r="BB15"/>
  <c r="BA15"/>
  <c r="AV15"/>
  <c r="AP15"/>
  <c r="BH14"/>
  <c r="BG14"/>
  <c r="BA14"/>
  <c r="AP14"/>
  <c r="BH13"/>
  <c r="BG13"/>
  <c r="BA13"/>
  <c r="AP13"/>
  <c r="BH12" s="1"/>
  <c r="BG12"/>
  <c r="BB12"/>
  <c r="BA12"/>
  <c r="AP12"/>
  <c r="BH11" s="1"/>
  <c r="BG11"/>
  <c r="BB11"/>
  <c r="BA11"/>
  <c r="AP11"/>
  <c r="BH10"/>
  <c r="BG10"/>
  <c r="BB10"/>
  <c r="BA10"/>
  <c r="AP10"/>
  <c r="BH9"/>
  <c r="BG9"/>
  <c r="BB9"/>
  <c r="BA9"/>
  <c r="AP9"/>
  <c r="BH8" s="1"/>
  <c r="BG8"/>
  <c r="BB8"/>
  <c r="BA8"/>
  <c r="AV8"/>
  <c r="AP8"/>
  <c r="BH7"/>
  <c r="BG7"/>
  <c r="BB7"/>
  <c r="BA7"/>
  <c r="AP7"/>
  <c r="BH6"/>
  <c r="BG6"/>
  <c r="BB6"/>
  <c r="BA6"/>
  <c r="AP6"/>
  <c r="BH16" i="34" s="1"/>
  <c r="BG16"/>
  <c r="BB16"/>
  <c r="BA16"/>
  <c r="AP16"/>
  <c r="BH15" s="1"/>
  <c r="BG15"/>
  <c r="BB15"/>
  <c r="BA15"/>
  <c r="AP15"/>
  <c r="BH14"/>
  <c r="BG14"/>
  <c r="BB14"/>
  <c r="BA14"/>
  <c r="AV14"/>
  <c r="AP14"/>
  <c r="BH13" s="1"/>
  <c r="BG13"/>
  <c r="BB13"/>
  <c r="BA13"/>
  <c r="AV13"/>
  <c r="AP13"/>
  <c r="BH12" s="1"/>
  <c r="BG12"/>
  <c r="BB12" s="1"/>
  <c r="BA12"/>
  <c r="AW12"/>
  <c r="AV12"/>
  <c r="AP12"/>
  <c r="BH11" s="1"/>
  <c r="BG11"/>
  <c r="BB11"/>
  <c r="BA11"/>
  <c r="AV11"/>
  <c r="AP11"/>
  <c r="BH10"/>
  <c r="BG10"/>
  <c r="BB10"/>
  <c r="BA10"/>
  <c r="AP10"/>
  <c r="BH9" s="1"/>
  <c r="BG9"/>
  <c r="BB9"/>
  <c r="BA9"/>
  <c r="AP9"/>
  <c r="BH8" s="1"/>
  <c r="BG8"/>
  <c r="BB8"/>
  <c r="BA8"/>
  <c r="AP8"/>
  <c r="BH7"/>
  <c r="BG7"/>
  <c r="BB7"/>
  <c r="BA7"/>
  <c r="AP7"/>
  <c r="BH6"/>
  <c r="BG6"/>
  <c r="BB6"/>
  <c r="BA6"/>
  <c r="AP6"/>
</calcChain>
</file>

<file path=xl/sharedStrings.xml><?xml version="1.0" encoding="utf-8"?>
<sst xmlns="http://schemas.openxmlformats.org/spreadsheetml/2006/main" count="4039" uniqueCount="1618">
  <si>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</si>
  <si>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</si>
  <si>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</si>
  <si>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</si>
  <si>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</si>
  <si>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</si>
  <si>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</si>
  <si>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</si>
  <si>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</si>
  <si>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</si>
  <si>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</si>
  <si>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</si>
  <si>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</si>
  <si>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</si>
  <si>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</si>
  <si>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</si>
  <si>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</si>
  <si>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</si>
  <si>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</si>
  <si>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</si>
  <si>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</si>
  <si>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</si>
  <si>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</si>
  <si>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</si>
  <si>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</si>
  <si>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</si>
  <si>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</si>
  <si>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</si>
  <si>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</si>
  <si>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</si>
  <si>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</si>
  <si>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</si>
  <si>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</si>
  <si>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</si>
  <si>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</si>
  <si>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</si>
  <si>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</si>
  <si>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</si>
  <si>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</si>
  <si>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</si>
  <si>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</si>
  <si>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</si>
  <si>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</si>
  <si>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</si>
  <si>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</si>
  <si>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</si>
  <si>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</si>
  <si>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</si>
  <si>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</si>
  <si>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</si>
  <si>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</si>
  <si>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</si>
  <si>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</si>
  <si>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</si>
  <si>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</si>
  <si>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</si>
  <si>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Short Description</t>
  </si>
  <si>
    <t>OE 3  Part #</t>
  </si>
  <si>
    <t>OE 4  Part #</t>
  </si>
  <si>
    <t>OE Ref Mfg #5</t>
  </si>
  <si>
    <t>OE 5  Part #</t>
  </si>
  <si>
    <t>OE Ref Mfg #6</t>
  </si>
  <si>
    <t>OE   Part #</t>
  </si>
  <si>
    <t>Air Filter</t>
  </si>
  <si>
    <t>2013 HD NEW PRODUCT INTRODUCTION</t>
  </si>
  <si>
    <t>USA</t>
  </si>
  <si>
    <t>New Holland</t>
  </si>
  <si>
    <t>8421.23.0000</t>
  </si>
  <si>
    <t>Yes</t>
  </si>
  <si>
    <t>Mack</t>
  </si>
  <si>
    <t>Maintentance Kit</t>
  </si>
  <si>
    <t>LK364M</t>
  </si>
  <si>
    <t>LF17499</t>
  </si>
  <si>
    <t>1884508C1</t>
  </si>
  <si>
    <t xml:space="preserve">International </t>
  </si>
  <si>
    <t>2011-12 International trucks with Maxforce DT engine.</t>
  </si>
  <si>
    <t>Lube</t>
  </si>
  <si>
    <t>Spin-on Lube Filter</t>
  </si>
  <si>
    <t>LFP6035</t>
  </si>
  <si>
    <t>2609683C1</t>
  </si>
  <si>
    <t>Navistar</t>
  </si>
  <si>
    <t>80122-RPL</t>
  </si>
  <si>
    <t>Racor</t>
  </si>
  <si>
    <t>Caterpillar</t>
  </si>
  <si>
    <t>Caterpillar; Irregular shaped radial seal  air filter used on Caterpillar CT660 trucks.</t>
  </si>
  <si>
    <t>Air</t>
  </si>
  <si>
    <t>LAF5789</t>
  </si>
  <si>
    <t>CF30100</t>
  </si>
  <si>
    <t>E712LS</t>
  </si>
  <si>
    <t>AF2381</t>
  </si>
  <si>
    <t>AF26155</t>
  </si>
  <si>
    <t>P606121</t>
  </si>
  <si>
    <t>PA4704</t>
  </si>
  <si>
    <t>AL150288</t>
  </si>
  <si>
    <t>John Deere</t>
  </si>
  <si>
    <t>Case Int'l</t>
  </si>
  <si>
    <t>M.A.N. TGA, TGM, TGS, &amp; TGX Series Trucks-S/O Air Dryer</t>
  </si>
  <si>
    <t>LAF5454</t>
  </si>
  <si>
    <t>AF2452</t>
  </si>
  <si>
    <t>AF26669</t>
  </si>
  <si>
    <t>PA5393</t>
  </si>
  <si>
    <t xml:space="preserve"> F6HZ-19N619-BA</t>
  </si>
  <si>
    <t xml:space="preserve">Ford Sterling </t>
  </si>
  <si>
    <t>Sterling Trucks-Foam Cabin Air element</t>
  </si>
  <si>
    <t>Cabin Air</t>
  </si>
  <si>
    <t>Cabin Air Filter</t>
  </si>
  <si>
    <t>CAF24020</t>
  </si>
  <si>
    <t>8421.31.0000</t>
  </si>
  <si>
    <t>RD3-8416-0</t>
  </si>
  <si>
    <t xml:space="preserve">Western Star </t>
  </si>
  <si>
    <t>Western Star 4900 Series Trucks</t>
  </si>
  <si>
    <t>Extreme Clean Cabin Air Filter</t>
  </si>
  <si>
    <t>CAF24017XL</t>
  </si>
  <si>
    <t>038568737724</t>
  </si>
  <si>
    <t>VCC36000006</t>
  </si>
  <si>
    <t xml:space="preserve">Freightliner </t>
  </si>
  <si>
    <t>Freightliner Business Class, FL &amp; M2 SEries</t>
  </si>
  <si>
    <t>CAF24016XL</t>
  </si>
  <si>
    <t>038568737748</t>
  </si>
  <si>
    <t>3839141C1</t>
  </si>
  <si>
    <t>International Prostar Series</t>
  </si>
  <si>
    <t>CAF24015XL</t>
  </si>
  <si>
    <t>038568737717</t>
  </si>
  <si>
    <t>F6HZ-19N619-AA</t>
  </si>
  <si>
    <t xml:space="preserve">Sterling </t>
  </si>
  <si>
    <t>Sterling B6500, B7500, B8500 + Others</t>
  </si>
  <si>
    <t>CAF24014XL</t>
  </si>
  <si>
    <t>038568737700</t>
  </si>
  <si>
    <t>Freightliner Century and Columbia</t>
  </si>
  <si>
    <t>CAF24011XL</t>
  </si>
  <si>
    <t>038568737694</t>
  </si>
  <si>
    <t>Freightliner Columbia and Coronado</t>
  </si>
  <si>
    <t>CAF24010XL</t>
  </si>
  <si>
    <t>038568737687</t>
  </si>
  <si>
    <t>498144C1</t>
  </si>
  <si>
    <t>International 4300, 6700, 9670, LP, LPX</t>
  </si>
  <si>
    <t>CAF24008XL</t>
  </si>
  <si>
    <t>038568737670</t>
  </si>
  <si>
    <t>52-5507BSM</t>
  </si>
  <si>
    <t xml:space="preserve">Kenworth </t>
  </si>
  <si>
    <t>Kenworth T2000</t>
  </si>
  <si>
    <t>CAF24007XL</t>
  </si>
  <si>
    <t>038568737663</t>
  </si>
  <si>
    <t>2506656C1</t>
  </si>
  <si>
    <t>International Durastar, LoneStar, WorkStar, ProStar</t>
  </si>
  <si>
    <t>CAF24005XL</t>
  </si>
  <si>
    <t>038568737816</t>
  </si>
  <si>
    <t>22-44665-000</t>
  </si>
  <si>
    <t>Freightliner Century Class, C112, CST 120</t>
  </si>
  <si>
    <t>CAF24004XL</t>
  </si>
  <si>
    <t>038568737809</t>
  </si>
  <si>
    <t>Freightliner Business Class, Cascadia, Century, Coumbia, Coronado</t>
  </si>
  <si>
    <t>CAF24003XL</t>
  </si>
  <si>
    <t>038568737793</t>
  </si>
  <si>
    <t xml:space="preserve">Volvo </t>
  </si>
  <si>
    <t>Volvo VN Series</t>
  </si>
  <si>
    <t>CAF24002XL</t>
  </si>
  <si>
    <t>038568737786</t>
  </si>
  <si>
    <t>CAF24001XL</t>
  </si>
  <si>
    <t>038568737779</t>
  </si>
  <si>
    <t>Volvo VHD, VN Series</t>
  </si>
  <si>
    <t>CAF24000XL</t>
  </si>
  <si>
    <t>038568737762</t>
  </si>
  <si>
    <t>T156471</t>
  </si>
  <si>
    <t xml:space="preserve">John Deere </t>
  </si>
  <si>
    <t>John Deere 600-700-800 Series J Wheeloaders  and Combines</t>
  </si>
  <si>
    <t>CAF12001XL</t>
  </si>
  <si>
    <t>038568737755</t>
  </si>
  <si>
    <t>RE187966</t>
  </si>
  <si>
    <t>John Deere 7000-8000-9000 Series Tractors; 4920 Sprayer</t>
  </si>
  <si>
    <t>CAF12000XL</t>
  </si>
  <si>
    <t>Gasoline or Diesel Fuel Filter/Water Separator</t>
  </si>
  <si>
    <t>Fuel</t>
  </si>
  <si>
    <t>Dahl Fuel filter/Water separator</t>
  </si>
  <si>
    <t>July - Sept 2013 HD NEW PRODUCT INTRODUCTION</t>
  </si>
  <si>
    <t>Dec-Feb 2013 HD NEW PRODUCT INTRODUCTION</t>
  </si>
  <si>
    <t>OE 3 Part #</t>
  </si>
  <si>
    <t>OE 4 Part #</t>
  </si>
  <si>
    <t>OE 5 Part #</t>
  </si>
  <si>
    <t>OE 6 Part #</t>
  </si>
  <si>
    <t>LAF3498</t>
  </si>
  <si>
    <t>Sullair Compressors</t>
  </si>
  <si>
    <t xml:space="preserve">Sullair ; H750 &amp; H1050 </t>
  </si>
  <si>
    <t>PA3498</t>
  </si>
  <si>
    <t>P607224</t>
  </si>
  <si>
    <t>AF25545</t>
  </si>
  <si>
    <t>038568736666</t>
  </si>
  <si>
    <t>10038568736663</t>
  </si>
  <si>
    <t>LAF3780</t>
  </si>
  <si>
    <t>Ford Super Duty Pickups w/Turbo Diesel  (2003-08) Replacement element for Wix 24490 filter housing.  Replacement air filter for Wix 24731 housing.</t>
  </si>
  <si>
    <t>AF27823</t>
  </si>
  <si>
    <t>038568737045</t>
  </si>
  <si>
    <t>10038568737042</t>
  </si>
  <si>
    <t>LAF6999</t>
  </si>
  <si>
    <t>Radial seal inner air cartridge</t>
  </si>
  <si>
    <t>Demag AC100 crane, Ingersoll Rand Compressors  Ingersoll-Rand 89288971  (For Sec. air use LAF6999)</t>
  </si>
  <si>
    <t>AGCO</t>
  </si>
  <si>
    <t>504422D1</t>
  </si>
  <si>
    <t>ATLAS COPCO</t>
  </si>
  <si>
    <t>2914-5018-00</t>
  </si>
  <si>
    <t>CLAAS</t>
  </si>
  <si>
    <t>Wirtgen</t>
  </si>
  <si>
    <t>RS3999</t>
  </si>
  <si>
    <t>P782109</t>
  </si>
  <si>
    <t>AF25770 / AF26402</t>
  </si>
  <si>
    <t>E631LS</t>
  </si>
  <si>
    <t>CF810</t>
  </si>
  <si>
    <t>038568736567</t>
  </si>
  <si>
    <t>10038568736564</t>
  </si>
  <si>
    <t>LAF6099</t>
  </si>
  <si>
    <t>Radial seal inner air cartridge w/ bail handle</t>
  </si>
  <si>
    <t xml:space="preserve">Atlas Copco 2914-502400; Mann &amp; Hummel CF710  Radial Seal Inner Air Element  Caterpillar 245-6376; Caterpillar 962H Wheel  Loader </t>
  </si>
  <si>
    <t>2914-5024-00</t>
  </si>
  <si>
    <t>J.C. Bamford</t>
  </si>
  <si>
    <t>Massey-Ferguson</t>
  </si>
  <si>
    <t>3902812M1</t>
  </si>
  <si>
    <t>Valtra</t>
  </si>
  <si>
    <t>V20288800</t>
  </si>
  <si>
    <t>RS3997</t>
  </si>
  <si>
    <t>p782108</t>
  </si>
  <si>
    <t>AF25768 / AF26400</t>
  </si>
  <si>
    <t>CF710</t>
  </si>
  <si>
    <t>038568736437</t>
  </si>
  <si>
    <t>10038568736434</t>
  </si>
  <si>
    <t>No</t>
  </si>
  <si>
    <t>UK</t>
  </si>
  <si>
    <t>L3546FC</t>
  </si>
  <si>
    <t xml:space="preserve">Fuel Filter </t>
  </si>
  <si>
    <t>Special Design Version of L3546F, 1 Piece Filter and Cap</t>
  </si>
  <si>
    <t>BF1201</t>
  </si>
  <si>
    <t>FF973</t>
  </si>
  <si>
    <t>038568736161</t>
  </si>
  <si>
    <t>10038568736168</t>
  </si>
  <si>
    <t>LFF3294</t>
  </si>
  <si>
    <t>Fuel/Water separator spin on</t>
  </si>
  <si>
    <t>Will Replace LFF3293</t>
  </si>
  <si>
    <t>BF1366-O</t>
  </si>
  <si>
    <t>FS19775</t>
  </si>
  <si>
    <t>038568736284</t>
  </si>
  <si>
    <t>10038568736281</t>
  </si>
  <si>
    <t>China</t>
  </si>
  <si>
    <t>LFF5357</t>
  </si>
  <si>
    <t>Fuel/Water separator spin on open for bowl</t>
  </si>
  <si>
    <t>Komatsu WA500-6, WA900-3 Loaders</t>
  </si>
  <si>
    <t>Komatsu</t>
  </si>
  <si>
    <t>600-311-3410</t>
  </si>
  <si>
    <t>600-319-3400</t>
  </si>
  <si>
    <t>S3207T</t>
  </si>
  <si>
    <t>BF1357</t>
  </si>
  <si>
    <t>P550937</t>
  </si>
  <si>
    <t>FS19946</t>
  </si>
  <si>
    <t>038568736369</t>
  </si>
  <si>
    <t>10038568736366</t>
  </si>
  <si>
    <t>LFF6354</t>
  </si>
  <si>
    <t>Fuel filter spin on w/ drain</t>
  </si>
  <si>
    <t>Jeep Liberty 2.8L Diesel Turbo (2005-06), Iveco Vans Daily IV /35 Series Turbo Engines</t>
  </si>
  <si>
    <t>Chrysler</t>
  </si>
  <si>
    <t>52128698AA</t>
  </si>
  <si>
    <t>Iveco</t>
  </si>
  <si>
    <t>H160WK</t>
  </si>
  <si>
    <t>Knecht/Mahle</t>
  </si>
  <si>
    <t>KC182</t>
  </si>
  <si>
    <t>BF7970</t>
  </si>
  <si>
    <t>FS19781</t>
  </si>
  <si>
    <t>FF1168</t>
  </si>
  <si>
    <t>WK8542</t>
  </si>
  <si>
    <t>F65782</t>
  </si>
  <si>
    <t>038568736116</t>
  </si>
  <si>
    <t>10038568736113</t>
  </si>
  <si>
    <t>L1020F</t>
  </si>
  <si>
    <t>Fuel filter cartridge</t>
  </si>
  <si>
    <t xml:space="preserve">Used on Caterpillar Fuel Systems w/2 micron 90 GPH flow </t>
  </si>
  <si>
    <t>PF7734</t>
  </si>
  <si>
    <t>86363XE</t>
  </si>
  <si>
    <t>FS1020</t>
  </si>
  <si>
    <t>3363XE</t>
  </si>
  <si>
    <t>33363XE</t>
  </si>
  <si>
    <t>038568682352</t>
  </si>
  <si>
    <t>10038568682359</t>
  </si>
  <si>
    <t>L5098F</t>
  </si>
  <si>
    <t>Fuel filter</t>
  </si>
  <si>
    <t>GMC W4500, W5500, W5500HD Trucks (2008-)</t>
  </si>
  <si>
    <t>GM</t>
  </si>
  <si>
    <t>Isuzu</t>
  </si>
  <si>
    <t>038568737298</t>
  </si>
  <si>
    <t>10038568737295</t>
  </si>
  <si>
    <t>Canada</t>
  </si>
  <si>
    <t>L3880F</t>
  </si>
  <si>
    <t>New Holland TL80A, TL90A, TL100A tractors</t>
  </si>
  <si>
    <t>Case International</t>
  </si>
  <si>
    <t>Stanadyne</t>
  </si>
  <si>
    <t>BF7951-D</t>
  </si>
  <si>
    <t>FS19982</t>
  </si>
  <si>
    <t>WK8124</t>
  </si>
  <si>
    <t>038568737496</t>
  </si>
  <si>
    <t>10038568737493</t>
  </si>
  <si>
    <t>L4109F</t>
  </si>
  <si>
    <t>J.C. Bamford527-55 loadall</t>
  </si>
  <si>
    <t>BF9828-D</t>
  </si>
  <si>
    <t>FS19987</t>
  </si>
  <si>
    <t>038568737502</t>
  </si>
  <si>
    <t>10038568737509</t>
  </si>
  <si>
    <t>LP7498</t>
  </si>
  <si>
    <t>Full flow lube cartridge</t>
  </si>
  <si>
    <t>Oil</t>
  </si>
  <si>
    <t>International Trucks with MaxxForce 11 and 13 Engines (2010-)</t>
  </si>
  <si>
    <t>International</t>
  </si>
  <si>
    <t>3007498C2</t>
  </si>
  <si>
    <t xml:space="preserve">Caterpillar </t>
  </si>
  <si>
    <t>CH11093</t>
  </si>
  <si>
    <t>038568737076</t>
  </si>
  <si>
    <t>10038568737073</t>
  </si>
  <si>
    <t>Bulgaria</t>
  </si>
  <si>
    <t>LP1138</t>
  </si>
  <si>
    <t>SOCK, LUBE</t>
  </si>
  <si>
    <t>White/GMC trucks</t>
  </si>
  <si>
    <t>V1044-O</t>
  </si>
  <si>
    <t>038568737458</t>
  </si>
  <si>
    <t>10038568737455</t>
  </si>
  <si>
    <t>LFP9025XL</t>
  </si>
  <si>
    <t>Full flow lube spin on</t>
  </si>
  <si>
    <t>International 184 1606 C1; International DT466, DT570 engines (2005-06), (Extended Life version of LFP9025)</t>
  </si>
  <si>
    <t>038568737007</t>
  </si>
  <si>
    <t>10038568737004</t>
  </si>
  <si>
    <t>(Bulk)</t>
  </si>
  <si>
    <t>LWC22155</t>
  </si>
  <si>
    <t xml:space="preserve">Aquacheck Water removal spin on filter </t>
  </si>
  <si>
    <t>Water</t>
  </si>
  <si>
    <t>Wix Aqua Check</t>
  </si>
  <si>
    <t>AC20</t>
  </si>
  <si>
    <t>038568737236</t>
  </si>
  <si>
    <t>10038568737233</t>
  </si>
  <si>
    <t>March 2013 HD NEW PRODUCT INTRODUCTION</t>
  </si>
  <si>
    <t>LAF3700</t>
  </si>
  <si>
    <t>Volvo L110E wheel loaders</t>
  </si>
  <si>
    <t>Volvo</t>
  </si>
  <si>
    <t>PA5310</t>
  </si>
  <si>
    <t>P500194</t>
  </si>
  <si>
    <t>AF26267</t>
  </si>
  <si>
    <t>038568737526</t>
  </si>
  <si>
    <t>10038568737523</t>
  </si>
  <si>
    <t>LFH4984</t>
  </si>
  <si>
    <t>Hydraulic Filter</t>
  </si>
  <si>
    <t>Ford, International 4300, 4700 (2003-04) and Sterling trucks (Internal S/O P/S tank filter)</t>
  </si>
  <si>
    <t xml:space="preserve">Ford </t>
  </si>
  <si>
    <t>4C4Z-3C602-AA</t>
  </si>
  <si>
    <t>2503221C1</t>
  </si>
  <si>
    <t>BT9388</t>
  </si>
  <si>
    <t>HF35476</t>
  </si>
  <si>
    <t>HF1007</t>
  </si>
  <si>
    <t>038568736987</t>
  </si>
  <si>
    <t>10038568736984</t>
  </si>
  <si>
    <t>8421.29.0065</t>
  </si>
  <si>
    <t>LAF2513</t>
  </si>
  <si>
    <t>Air Breather Element</t>
  </si>
  <si>
    <t>Volvo A25C, A25D, A30C, A30D Dump trucks</t>
  </si>
  <si>
    <t>Sakura</t>
  </si>
  <si>
    <t>A2417</t>
  </si>
  <si>
    <t>PA5311</t>
  </si>
  <si>
    <t>P500196</t>
  </si>
  <si>
    <t>AF26455</t>
  </si>
  <si>
    <t>038568736468</t>
  </si>
  <si>
    <t>10038568736465</t>
  </si>
  <si>
    <t>Indonesia</t>
  </si>
  <si>
    <t>LP6043</t>
  </si>
  <si>
    <t>Oil Filter</t>
  </si>
  <si>
    <t>Kenworth &amp; Peterbilt with Paccar MX engine</t>
  </si>
  <si>
    <t>DAF</t>
  </si>
  <si>
    <t>P7354</t>
  </si>
  <si>
    <t>P550812</t>
  </si>
  <si>
    <t>LF16233</t>
  </si>
  <si>
    <t>CH10949</t>
  </si>
  <si>
    <t>E89HD213 / E89HD97</t>
  </si>
  <si>
    <t>HU12103/x</t>
  </si>
  <si>
    <t>L65100</t>
  </si>
  <si>
    <t>038568737472</t>
  </si>
  <si>
    <t>10038568737479</t>
  </si>
  <si>
    <t>Germany</t>
  </si>
  <si>
    <t>November 2012 - HD NEW PRODUCT  INTRODUCTION</t>
  </si>
  <si>
    <t>LAF4348</t>
  </si>
  <si>
    <t>Air filter</t>
  </si>
  <si>
    <t>Hyster &amp; Yale Eqpt - A/F</t>
  </si>
  <si>
    <t xml:space="preserve">Yale &amp; Towne </t>
  </si>
  <si>
    <t>Hyster</t>
  </si>
  <si>
    <t>PA5584</t>
  </si>
  <si>
    <t>P611858</t>
  </si>
  <si>
    <t>9518</t>
  </si>
  <si>
    <t>LAF5429</t>
  </si>
  <si>
    <t>Conical shaped air cartridge</t>
  </si>
  <si>
    <t>John Deere excavators &amp; Loaders-Outer A/F</t>
  </si>
  <si>
    <t>AT332908</t>
  </si>
  <si>
    <t>YY11P00008S003</t>
  </si>
  <si>
    <t>PA5501</t>
  </si>
  <si>
    <t>P611190</t>
  </si>
  <si>
    <t>9190</t>
  </si>
  <si>
    <t>LAF5430</t>
  </si>
  <si>
    <t>Conical shaped air inner cartridge</t>
  </si>
  <si>
    <t>John Deere excavators &amp; Loaders-Inner A/F</t>
  </si>
  <si>
    <t>AT332909(Donaldson Hsg)</t>
  </si>
  <si>
    <t>YY11P00008S002</t>
  </si>
  <si>
    <t>PA5502</t>
  </si>
  <si>
    <t>P611189</t>
  </si>
  <si>
    <t>9189</t>
  </si>
  <si>
    <t>LAF5482</t>
  </si>
  <si>
    <t>Cabin air filter panel</t>
  </si>
  <si>
    <t>Komatsu Dump Trucks &amp; Loaders-Cabin A/F</t>
  </si>
  <si>
    <t xml:space="preserve">Komatsu </t>
  </si>
  <si>
    <t xml:space="preserve">427-07-22120 </t>
  </si>
  <si>
    <t>PA5482</t>
  </si>
  <si>
    <t>P606063</t>
  </si>
  <si>
    <t>AF55727</t>
  </si>
  <si>
    <t>CA5057</t>
  </si>
  <si>
    <t>9820</t>
  </si>
  <si>
    <t>LAF6889</t>
  </si>
  <si>
    <t>FORD F650 trucks w Cta c7 OR Cummins ISB6.7 eng. As well as AGCO AND Massey tractors</t>
  </si>
  <si>
    <t xml:space="preserve">International  </t>
  </si>
  <si>
    <t>2591005C1</t>
  </si>
  <si>
    <t>4286473M2</t>
  </si>
  <si>
    <t xml:space="preserve">Motorcraft </t>
  </si>
  <si>
    <t>FA1899</t>
  </si>
  <si>
    <t>Ford</t>
  </si>
  <si>
    <t>7C4Z-9601-AA</t>
  </si>
  <si>
    <t>P608666</t>
  </si>
  <si>
    <t>AF27876</t>
  </si>
  <si>
    <t>C34360</t>
  </si>
  <si>
    <t>9666</t>
  </si>
  <si>
    <t>LAF1483</t>
  </si>
  <si>
    <t>Air filter panel</t>
  </si>
  <si>
    <t>Onan Generators-A/F</t>
  </si>
  <si>
    <t>Onan generator</t>
  </si>
  <si>
    <t>9087</t>
  </si>
  <si>
    <t>Poland</t>
  </si>
  <si>
    <t>LAF1484</t>
  </si>
  <si>
    <t>Flex panel air filter</t>
  </si>
  <si>
    <t>E-Z Go golf carts-A/F</t>
  </si>
  <si>
    <t>EZ GO golf carts</t>
  </si>
  <si>
    <t>72144G1</t>
  </si>
  <si>
    <t>Jacobsen</t>
  </si>
  <si>
    <t>72368G01</t>
  </si>
  <si>
    <t>Woodgate</t>
  </si>
  <si>
    <t>WGA1850</t>
  </si>
  <si>
    <t>PA4932</t>
  </si>
  <si>
    <t>2828</t>
  </si>
  <si>
    <t>LAF1962</t>
  </si>
  <si>
    <t>Schramm, Ingersoll-Rand Air Compressor</t>
  </si>
  <si>
    <t>Ingersoll-Rand</t>
  </si>
  <si>
    <t>W-104068</t>
  </si>
  <si>
    <t>AC</t>
  </si>
  <si>
    <t>A1459C</t>
  </si>
  <si>
    <t>Gardner Denver</t>
  </si>
  <si>
    <t>LAF4364</t>
  </si>
  <si>
    <t>LAF4556</t>
  </si>
  <si>
    <t>2012 KW T800 and 388 Peterbilt</t>
  </si>
  <si>
    <t>P614556</t>
  </si>
  <si>
    <t>LAF4629</t>
  </si>
  <si>
    <t>Late model New Holland, Case International &amp; Kubota small compact tractors</t>
  </si>
  <si>
    <t>Kubota</t>
  </si>
  <si>
    <t xml:space="preserve"> 6C060-99410</t>
  </si>
  <si>
    <t>WGA1859</t>
  </si>
  <si>
    <t>PA4934</t>
  </si>
  <si>
    <t>AF261161</t>
  </si>
  <si>
    <t>9410</t>
  </si>
  <si>
    <t>LAF6098</t>
  </si>
  <si>
    <t>Radial seal outer air cartidge</t>
  </si>
  <si>
    <t>E630L01</t>
  </si>
  <si>
    <t>3902806M1</t>
  </si>
  <si>
    <t>C25710</t>
  </si>
  <si>
    <t>LFF3676</t>
  </si>
  <si>
    <t>Fuel filter in line</t>
  </si>
  <si>
    <t>Onan Generators-In-line F/F</t>
  </si>
  <si>
    <t xml:space="preserve">Onan </t>
  </si>
  <si>
    <t>3933</t>
  </si>
  <si>
    <t>LFP2698</t>
  </si>
  <si>
    <t>Caterpillar 6.6L and 9.3L late model engines</t>
  </si>
  <si>
    <t xml:space="preserve">CAT </t>
  </si>
  <si>
    <t>Perkins</t>
  </si>
  <si>
    <t>2654A111</t>
  </si>
  <si>
    <t>Schupp</t>
  </si>
  <si>
    <t>SP4928</t>
  </si>
  <si>
    <t>B7378</t>
  </si>
  <si>
    <t>P550920</t>
  </si>
  <si>
    <t>LF17475</t>
  </si>
  <si>
    <t>7325</t>
  </si>
  <si>
    <t>LFP3050</t>
  </si>
  <si>
    <t>JCB 444 Engine they manufacture goes in most equipment</t>
  </si>
  <si>
    <t xml:space="preserve">JCB </t>
  </si>
  <si>
    <t>B7350</t>
  </si>
  <si>
    <t>W950/38</t>
  </si>
  <si>
    <t>LH4230V</t>
  </si>
  <si>
    <t>Hydraulic cartidge</t>
  </si>
  <si>
    <t>Allison Transmissions-Hydraulic Cartridge</t>
  </si>
  <si>
    <t xml:space="preserve">Woodgate </t>
  </si>
  <si>
    <t>WGPN9613Z</t>
  </si>
  <si>
    <t>H9078-V</t>
  </si>
  <si>
    <t>1692</t>
  </si>
  <si>
    <t>LFF7688</t>
  </si>
  <si>
    <t>Fuel/water separator spin on</t>
  </si>
  <si>
    <t>New Holland loaders-S/O F/W Separator</t>
  </si>
  <si>
    <t xml:space="preserve">New Holland </t>
  </si>
  <si>
    <t xml:space="preserve">Case  </t>
  </si>
  <si>
    <t>Cummins</t>
  </si>
  <si>
    <t>BF7921</t>
  </si>
  <si>
    <t>P550248</t>
  </si>
  <si>
    <t>FS19560</t>
  </si>
  <si>
    <t>PS8428</t>
  </si>
  <si>
    <t>3472</t>
  </si>
  <si>
    <t>LAF4140</t>
  </si>
  <si>
    <t>Radial seal outer air cartridge</t>
  </si>
  <si>
    <t>Tiger Cat Feller Buncher w/ Cummins Engine Outer A/F</t>
  </si>
  <si>
    <t>Tiger Cat 720D Feller Buncher w/ Cummins Eng</t>
  </si>
  <si>
    <t>RS5442</t>
  </si>
  <si>
    <t>P601767</t>
  </si>
  <si>
    <t xml:space="preserve"> </t>
  </si>
  <si>
    <t>9767</t>
  </si>
  <si>
    <t>Mexico</t>
  </si>
  <si>
    <t>LFF6965</t>
  </si>
  <si>
    <t>Fuel filter spin on</t>
  </si>
  <si>
    <t>Caterpillar Eqpt S/O F/F, C1.1 Eng</t>
  </si>
  <si>
    <t>3742</t>
  </si>
  <si>
    <t>LFP8845</t>
  </si>
  <si>
    <t>Air brake dryer filter</t>
  </si>
  <si>
    <t>DAF, Avia, Iveco, M.A.N., Mercedes Benz</t>
  </si>
  <si>
    <t>T280W</t>
  </si>
  <si>
    <t>AL24</t>
  </si>
  <si>
    <t>LFF6963</t>
  </si>
  <si>
    <t>RE533910</t>
  </si>
  <si>
    <t>LFF6964</t>
  </si>
  <si>
    <t>RE532952</t>
  </si>
  <si>
    <t>Fuel cartridge-DAHL 65 series</t>
  </si>
  <si>
    <t>Dahl diesel Fuel filter/water Separator Unit</t>
  </si>
  <si>
    <t>LAF4557</t>
  </si>
  <si>
    <t>Panel air cartridge</t>
  </si>
  <si>
    <t>Tennant Eqpt-Cabin A/F</t>
  </si>
  <si>
    <t>Tennant</t>
  </si>
  <si>
    <t>PA2854</t>
  </si>
  <si>
    <t>P531017</t>
  </si>
  <si>
    <t>LAF5929</t>
  </si>
  <si>
    <t>LAF5929 secondary radial seal air filter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</si>
  <si>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</si>
  <si>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</si>
  <si>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</si>
  <si>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HD</t>
  </si>
  <si>
    <t>2014 DISTRIBUTOR PRICE CORRECTION</t>
  </si>
  <si>
    <t>Price Change Effective Date</t>
  </si>
  <si>
    <t>Revised Price</t>
  </si>
  <si>
    <t>1-1-14 Price Was</t>
  </si>
  <si>
    <t>Status</t>
  </si>
  <si>
    <t>Revision</t>
  </si>
  <si>
    <t>PART NUMBER UPDATES</t>
  </si>
  <si>
    <t>LAF5771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</si>
  <si>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</si>
  <si>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RS3990</t>
  </si>
  <si>
    <t>83978</t>
  </si>
  <si>
    <t>P778979</t>
  </si>
  <si>
    <t>AF26387</t>
  </si>
  <si>
    <t>E1500L</t>
  </si>
  <si>
    <t>54516075</t>
  </si>
  <si>
    <t>EPC046519</t>
  </si>
  <si>
    <t>K3181-82241</t>
  </si>
  <si>
    <t>16546-FA01A</t>
  </si>
  <si>
    <t>NISSAN</t>
  </si>
  <si>
    <t>80858384</t>
  </si>
  <si>
    <t>49978</t>
  </si>
  <si>
    <t>CF11100</t>
  </si>
  <si>
    <t>MANN &amp; HUMMEL</t>
  </si>
  <si>
    <t>OE Ref Mfg #7</t>
  </si>
  <si>
    <t>2914-9300-00</t>
  </si>
  <si>
    <t>Radial Seal Outer Air Element</t>
  </si>
  <si>
    <t>LFH5323</t>
  </si>
  <si>
    <t>Hydraulic</t>
  </si>
  <si>
    <t>Coopers</t>
  </si>
  <si>
    <t>LSF5170</t>
  </si>
  <si>
    <t>Terberg</t>
  </si>
  <si>
    <t>Not Packed Into a Unit Box</t>
  </si>
  <si>
    <t>HF35323</t>
  </si>
  <si>
    <t>038568737892</t>
  </si>
  <si>
    <t>1 unit box = 1 carton</t>
  </si>
  <si>
    <t>United Kingdom</t>
  </si>
  <si>
    <t>2014 NEW PRODUCT INTRODUCTION</t>
  </si>
  <si>
    <t>Replaced by PC54</t>
  </si>
  <si>
    <t xml:space="preserve">Obsolete </t>
  </si>
  <si>
    <t>PCV Valve</t>
  </si>
  <si>
    <t>PV</t>
  </si>
  <si>
    <t>PC88</t>
  </si>
  <si>
    <t>Replaced by PC184</t>
  </si>
  <si>
    <t>PC206</t>
  </si>
  <si>
    <t xml:space="preserve">Not Replaced </t>
  </si>
  <si>
    <t>Hyd</t>
  </si>
  <si>
    <t>LH95950</t>
  </si>
  <si>
    <t>LH8972</t>
  </si>
  <si>
    <t>Replaced by LFW5141XL</t>
  </si>
  <si>
    <t>Coolant</t>
  </si>
  <si>
    <t>Coolant Filter</t>
  </si>
  <si>
    <t>LFW22138XL</t>
  </si>
  <si>
    <t>Replaced by LFW4685XL</t>
  </si>
  <si>
    <t>LFW22038</t>
  </si>
  <si>
    <t>Replaced by LFF5874</t>
  </si>
  <si>
    <t>Fuel Filter</t>
  </si>
  <si>
    <t>LFF3584</t>
  </si>
  <si>
    <t>Replaced by LFF8064</t>
  </si>
  <si>
    <t>LFF3290</t>
  </si>
  <si>
    <t>LAF4283</t>
  </si>
  <si>
    <t>LAF1911</t>
  </si>
  <si>
    <t>LAF1781</t>
  </si>
  <si>
    <t>LAF1474</t>
  </si>
  <si>
    <t>Replaced by G489</t>
  </si>
  <si>
    <t>G6326</t>
  </si>
  <si>
    <t>Replaced by G471</t>
  </si>
  <si>
    <t>G441</t>
  </si>
  <si>
    <t>Replaced by G6335</t>
  </si>
  <si>
    <t>G2930</t>
  </si>
  <si>
    <t>Replaced by CAF24015</t>
  </si>
  <si>
    <t>Superceded</t>
  </si>
  <si>
    <t>CAF24025</t>
  </si>
  <si>
    <t>AF749</t>
  </si>
  <si>
    <t>AF314</t>
  </si>
  <si>
    <t>Replaced by AF92</t>
  </si>
  <si>
    <t>AF278</t>
  </si>
  <si>
    <t>January 2014</t>
  </si>
  <si>
    <t>Oil Sample Kit</t>
  </si>
  <si>
    <t>LOSK-3</t>
  </si>
  <si>
    <t>LOSK-1</t>
  </si>
  <si>
    <t>10038568738247</t>
  </si>
  <si>
    <t>038568738240</t>
  </si>
  <si>
    <t>WP1009</t>
  </si>
  <si>
    <t>CF6296</t>
  </si>
  <si>
    <t>L36296</t>
  </si>
  <si>
    <t>MO-349</t>
  </si>
  <si>
    <t>Mopar</t>
  </si>
  <si>
    <t>68191349AA</t>
  </si>
  <si>
    <t>2014 Chrysler/Jeep/Dodge/Ram w/ 3.6L V-6</t>
  </si>
  <si>
    <t>Oil - Full Flow LubeCartridge</t>
  </si>
  <si>
    <t>P1009</t>
  </si>
  <si>
    <t>10038568737264 </t>
  </si>
  <si>
    <t>038568737267</t>
  </si>
  <si>
    <t>PS9707</t>
  </si>
  <si>
    <t>FS19799</t>
  </si>
  <si>
    <t>BF1355-SP</t>
  </si>
  <si>
    <t>S3238P</t>
  </si>
  <si>
    <t>11-9982</t>
  </si>
  <si>
    <t>Thermo-King</t>
  </si>
  <si>
    <t xml:space="preserve">Thermo King Refrigeration Units; Volvo Trucks </t>
  </si>
  <si>
    <t>Fuel/Water Separator</t>
  </si>
  <si>
    <t>LFF9982</t>
  </si>
  <si>
    <t>038568739391</t>
  </si>
  <si>
    <t>11-9342</t>
  </si>
  <si>
    <t xml:space="preserve"> Thermo-King Refrigeration  Units (Consists of 1-PH2808, 1-LFF9342SC, 1-G6635)</t>
  </si>
  <si>
    <t>LK363T</t>
  </si>
  <si>
    <t>2013 NEW PRODUCT INTRODUCTION</t>
  </si>
  <si>
    <t>Terberg &amp; Coopers Equipment</t>
  </si>
  <si>
    <t>CAT</t>
  </si>
  <si>
    <t>8N9586, 9N5570</t>
  </si>
  <si>
    <t>P555570</t>
  </si>
  <si>
    <t>LH4248V</t>
  </si>
  <si>
    <t>AF5197</t>
  </si>
  <si>
    <t>AF5217</t>
  </si>
  <si>
    <t>LH7040</t>
  </si>
  <si>
    <t>LAF1901</t>
  </si>
  <si>
    <t>PV or HD</t>
  </si>
  <si>
    <t xml:space="preserve">PV </t>
  </si>
  <si>
    <t>038568737106 </t>
  </si>
  <si>
    <t>10038568737103 </t>
  </si>
  <si>
    <t>1 Unit Box = 1 Carton</t>
  </si>
  <si>
    <t>038568738318</t>
  </si>
  <si>
    <t>038568738325</t>
  </si>
  <si>
    <t>038568737113 </t>
  </si>
  <si>
    <t>038568738011 </t>
  </si>
  <si>
    <t>HF30237</t>
  </si>
  <si>
    <t>932618Q</t>
  </si>
  <si>
    <t>Parker</t>
  </si>
  <si>
    <t>ARM-12-3990</t>
  </si>
  <si>
    <t>Air Refiner</t>
  </si>
  <si>
    <t>AF1872</t>
  </si>
  <si>
    <t>PA2527</t>
  </si>
  <si>
    <t>P123990</t>
  </si>
  <si>
    <t>CA7747</t>
  </si>
  <si>
    <t>A55118</t>
  </si>
  <si>
    <t xml:space="preserve">Schroeder </t>
  </si>
  <si>
    <t>SBF100218Z25B</t>
  </si>
  <si>
    <t>P567040</t>
  </si>
  <si>
    <t>H9052</t>
  </si>
  <si>
    <t>P566202</t>
  </si>
  <si>
    <t>Parker-Hannifan</t>
  </si>
  <si>
    <t>CA11052</t>
  </si>
  <si>
    <t>AF1488</t>
  </si>
  <si>
    <t>33-2460</t>
  </si>
  <si>
    <t>A36167</t>
  </si>
  <si>
    <t>AF6167</t>
  </si>
  <si>
    <t>WAF5197</t>
  </si>
  <si>
    <t>Chrysler 300, Dodge Challenger, Charger (2011 - 2014), 3.6L, 5.7L, 6.4L, engines</t>
  </si>
  <si>
    <t>4861746AA</t>
  </si>
  <si>
    <t>LX2615OF</t>
  </si>
  <si>
    <t>CA11298</t>
  </si>
  <si>
    <t>A36275</t>
  </si>
  <si>
    <t>AF6275</t>
  </si>
  <si>
    <t>WAF5217</t>
  </si>
  <si>
    <t xml:space="preserve">Hyundai Genesis Coupe 2013, 2014 </t>
  </si>
  <si>
    <t>Hyundai</t>
  </si>
  <si>
    <t>281132M300</t>
  </si>
  <si>
    <t>Price Was</t>
  </si>
  <si>
    <t xml:space="preserve">Hydraulic Filter, Cartridge </t>
  </si>
  <si>
    <t>Air Filter, Primary</t>
  </si>
  <si>
    <t xml:space="preserve">Hydraulic Wire Mesh Supported Element </t>
  </si>
  <si>
    <t>Price  Information</t>
  </si>
  <si>
    <t>AF6908</t>
  </si>
  <si>
    <t>038568739650</t>
  </si>
  <si>
    <t>10038568739657</t>
  </si>
  <si>
    <t>AF5203</t>
  </si>
  <si>
    <t>AF5206</t>
  </si>
  <si>
    <t>038568739636</t>
  </si>
  <si>
    <t>10038568739633</t>
  </si>
  <si>
    <t>Korea</t>
  </si>
  <si>
    <t>038568739827</t>
  </si>
  <si>
    <t>10038568739824</t>
  </si>
  <si>
    <t>CAF1863P</t>
  </si>
  <si>
    <t>CAF1869P</t>
  </si>
  <si>
    <t>CAF1874P</t>
  </si>
  <si>
    <t>CAF1890P</t>
  </si>
  <si>
    <t>038568738271</t>
  </si>
  <si>
    <t>10038568738278</t>
  </si>
  <si>
    <t>Not packaged into individual unit boxes</t>
  </si>
  <si>
    <t>038568737519</t>
  </si>
  <si>
    <t>10038568737516</t>
  </si>
  <si>
    <t>038568738295 </t>
  </si>
  <si>
    <t>10038568738292</t>
  </si>
  <si>
    <t>038568739438</t>
  </si>
  <si>
    <t>10038568739435</t>
  </si>
  <si>
    <t>17220-RW0-A01</t>
  </si>
  <si>
    <t>Honda</t>
  </si>
  <si>
    <t xml:space="preserve">Honda Civic (Hybrid) (2012-13)  </t>
  </si>
  <si>
    <t>CA11256</t>
  </si>
  <si>
    <t>A26196</t>
  </si>
  <si>
    <t>AF6196</t>
  </si>
  <si>
    <t>WAF5203</t>
  </si>
  <si>
    <t>CA11206</t>
  </si>
  <si>
    <t>33-2472</t>
  </si>
  <si>
    <t>A16200</t>
  </si>
  <si>
    <t>AF6200</t>
  </si>
  <si>
    <t>STP</t>
  </si>
  <si>
    <t>SA11206</t>
  </si>
  <si>
    <t>WAF5206</t>
  </si>
  <si>
    <t>FA1908</t>
  </si>
  <si>
    <t xml:space="preserve">Ford Focus (2012-14) </t>
  </si>
  <si>
    <t>RS4450</t>
  </si>
  <si>
    <t>CA11114</t>
  </si>
  <si>
    <t>A36149</t>
  </si>
  <si>
    <t>AF6149</t>
  </si>
  <si>
    <t>WAF6908</t>
  </si>
  <si>
    <t>Cab Air</t>
  </si>
  <si>
    <t>281131R100</t>
  </si>
  <si>
    <t xml:space="preserve">Hyundai Accent, Veloster (2012-14), KIA Soul  2012-13 </t>
  </si>
  <si>
    <t>72880-SA000</t>
  </si>
  <si>
    <t>Subaru</t>
  </si>
  <si>
    <t>G3010-SA100</t>
  </si>
  <si>
    <t xml:space="preserve">Subaru Forester (2003-08) </t>
  </si>
  <si>
    <t>PA4424</t>
  </si>
  <si>
    <t>CF10745</t>
  </si>
  <si>
    <t>C25875</t>
  </si>
  <si>
    <t>WCAF1863</t>
  </si>
  <si>
    <t>72880-FG000</t>
  </si>
  <si>
    <t xml:space="preserve">Subaru Forester (2009-14) </t>
  </si>
  <si>
    <t>C36115</t>
  </si>
  <si>
    <t>WCAF1869</t>
  </si>
  <si>
    <t>GS3L-61-148</t>
  </si>
  <si>
    <t>Mazda</t>
  </si>
  <si>
    <t xml:space="preserve">Mazda 6 (2009-13) </t>
  </si>
  <si>
    <t>CF11175</t>
  </si>
  <si>
    <t>C26087</t>
  </si>
  <si>
    <t>WCAF1874</t>
  </si>
  <si>
    <t>68079487AA</t>
  </si>
  <si>
    <t xml:space="preserve">Dodge Durango (2011-14), Jeep Grand Cherokee  (2011-14) </t>
  </si>
  <si>
    <t>PA4462</t>
  </si>
  <si>
    <t>CF11183</t>
  </si>
  <si>
    <t>C36156</t>
  </si>
  <si>
    <t>WCAF1890</t>
  </si>
  <si>
    <t>LFP7314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</si>
  <si>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</si>
  <si>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</si>
  <si>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</si>
  <si>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</si>
  <si>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</si>
  <si>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</si>
  <si>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</si>
  <si>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Roof drill dust collector</t>
  </si>
  <si>
    <t>Parker RF2/IF2 housings.  Beta 1000= 23 micron</t>
  </si>
  <si>
    <t>G1033</t>
  </si>
  <si>
    <t xml:space="preserve">Hydraulic Filter, Spin-on </t>
  </si>
  <si>
    <t>LAF5354</t>
  </si>
  <si>
    <t>RADIAL SEAL AIR FILTER </t>
  </si>
  <si>
    <t>L6916F</t>
  </si>
  <si>
    <t>CARTRIDGE FUEL FILTER </t>
  </si>
  <si>
    <t>LP7485</t>
  </si>
  <si>
    <t>CENTRIFUGAL BYPASS OIL FILTER </t>
  </si>
  <si>
    <t>LAF5837</t>
  </si>
  <si>
    <t>LH6418</t>
  </si>
  <si>
    <t>HYDRAULIC CARTRIDGE FILTER </t>
  </si>
  <si>
    <t>L5092F</t>
  </si>
  <si>
    <t>FUEL FILTER KIT</t>
  </si>
  <si>
    <t>AF5192</t>
  </si>
  <si>
    <t>LUBERFINER RIGID AIR FILTER</t>
  </si>
  <si>
    <t>CAF1883P</t>
  </si>
  <si>
    <t>LUBERFINER CABIN AIR FILTER</t>
  </si>
  <si>
    <t>AF5210</t>
  </si>
  <si>
    <t>AF5201</t>
  </si>
  <si>
    <t>AF5208</t>
  </si>
  <si>
    <t>AF5198</t>
  </si>
  <si>
    <t>AF3612</t>
  </si>
  <si>
    <t>LUBERFINER FLEX PANEL AIR FILTER</t>
  </si>
  <si>
    <t>AF5186</t>
  </si>
  <si>
    <t>P996</t>
  </si>
  <si>
    <t>LUBERFINER CARTRIDGE OIL FILTER</t>
  </si>
  <si>
    <t>P998</t>
  </si>
  <si>
    <t>CAF1868P</t>
  </si>
  <si>
    <t>038568738363</t>
  </si>
  <si>
    <t>10038568738360</t>
  </si>
  <si>
    <t>038568737588</t>
  </si>
  <si>
    <t>10038568737585</t>
  </si>
  <si>
    <t>038568738004</t>
  </si>
  <si>
    <t>10038568738001</t>
  </si>
  <si>
    <t>038568738547</t>
  </si>
  <si>
    <t>10038568738544 </t>
  </si>
  <si>
    <t>038568737946</t>
  </si>
  <si>
    <t>10038568737943</t>
  </si>
  <si>
    <t>038568738196</t>
  </si>
  <si>
    <t>10038568738193</t>
  </si>
  <si>
    <t>038568739643</t>
  </si>
  <si>
    <t>10038568739640</t>
  </si>
  <si>
    <t>038568739452</t>
  </si>
  <si>
    <t>10038568739459</t>
  </si>
  <si>
    <t>038568739582</t>
  </si>
  <si>
    <t>10038568739589</t>
  </si>
  <si>
    <t>038568739629</t>
  </si>
  <si>
    <t>10038568739626 </t>
  </si>
  <si>
    <t>038568739674</t>
  </si>
  <si>
    <t>10038568739671</t>
  </si>
  <si>
    <t>038568739773</t>
  </si>
  <si>
    <t>10038568739770</t>
  </si>
  <si>
    <t>038568739605</t>
  </si>
  <si>
    <t>10038568739602 </t>
  </si>
  <si>
    <t>038568739421</t>
  </si>
  <si>
    <t>10038568739428</t>
  </si>
  <si>
    <t>038568739803</t>
  </si>
  <si>
    <t>10038568739800</t>
  </si>
  <si>
    <t>038568739599</t>
  </si>
  <si>
    <t>10038568739596</t>
  </si>
  <si>
    <t>038568739445</t>
  </si>
  <si>
    <t>10038568739442</t>
  </si>
  <si>
    <t>John Deere RE210102; John Deere 8130, 8230, 8330,  8430, 8530 Tractors (Pri. air)</t>
  </si>
  <si>
    <t>RS5354</t>
  </si>
  <si>
    <t>P617646</t>
  </si>
  <si>
    <t>AF26336</t>
  </si>
  <si>
    <t>49203</t>
  </si>
  <si>
    <t>PF7916</t>
  </si>
  <si>
    <t>P550837</t>
  </si>
  <si>
    <t>FF5796</t>
  </si>
  <si>
    <t>33716</t>
  </si>
  <si>
    <t>BC7485</t>
  </si>
  <si>
    <t>P551841</t>
  </si>
  <si>
    <t>CS41043</t>
  </si>
  <si>
    <t>57467</t>
  </si>
  <si>
    <t>P812175</t>
  </si>
  <si>
    <t>P545</t>
  </si>
  <si>
    <t>HF6418</t>
  </si>
  <si>
    <t>C7065</t>
  </si>
  <si>
    <t>K11101</t>
  </si>
  <si>
    <t>CA9894</t>
  </si>
  <si>
    <t>49640</t>
  </si>
  <si>
    <t>CF10559</t>
  </si>
  <si>
    <t>49700</t>
  </si>
  <si>
    <t>PA4468</t>
  </si>
  <si>
    <t>CA11258</t>
  </si>
  <si>
    <t>49630</t>
  </si>
  <si>
    <t>PA4452</t>
  </si>
  <si>
    <t>CA11113</t>
  </si>
  <si>
    <t>49031</t>
  </si>
  <si>
    <t>PA4463</t>
  </si>
  <si>
    <t>CA11121</t>
  </si>
  <si>
    <t>49530</t>
  </si>
  <si>
    <t>PA4456</t>
  </si>
  <si>
    <t>CA11050</t>
  </si>
  <si>
    <t>49737</t>
  </si>
  <si>
    <t>CA11048</t>
  </si>
  <si>
    <t>49014</t>
  </si>
  <si>
    <t>CA11010</t>
  </si>
  <si>
    <t>49610</t>
  </si>
  <si>
    <t>CH11252</t>
  </si>
  <si>
    <t>57260</t>
  </si>
  <si>
    <t>CH11242</t>
  </si>
  <si>
    <t>57462</t>
  </si>
  <si>
    <t>CF11174</t>
  </si>
  <si>
    <t>24367</t>
  </si>
  <si>
    <t>RE210102</t>
  </si>
  <si>
    <t>Nelson/Winslow</t>
  </si>
  <si>
    <t>871362B</t>
  </si>
  <si>
    <t>E412KP02D55</t>
  </si>
  <si>
    <t>M+H</t>
  </si>
  <si>
    <t>PU815/X</t>
  </si>
  <si>
    <t xml:space="preserve"> Volvo EC160B Excavator</t>
  </si>
  <si>
    <t>2606467C91</t>
  </si>
  <si>
    <t>International Centrifuge by-pass lube  International Maxforce 9,10,11, and 13 engines.</t>
  </si>
  <si>
    <t>Nissan</t>
  </si>
  <si>
    <t>D6546-NY108</t>
  </si>
  <si>
    <t xml:space="preserve">Nissan </t>
  </si>
  <si>
    <t>White</t>
  </si>
  <si>
    <t xml:space="preserve">White </t>
  </si>
  <si>
    <t>Freightliner School Bus (2008)  Mercedes,  Kit includes element TR2009-0331 &amp; pre-screen</t>
  </si>
  <si>
    <t>A0000902751</t>
  </si>
  <si>
    <t>Mercedes</t>
  </si>
  <si>
    <t xml:space="preserve">Mazda 2 1.5L (2011-12) </t>
  </si>
  <si>
    <t>ZJ01-13-Z40</t>
  </si>
  <si>
    <t>C3220</t>
  </si>
  <si>
    <t xml:space="preserve">Suzuki SX4 (2007-13) </t>
  </si>
  <si>
    <t>95860-80J00</t>
  </si>
  <si>
    <t>Suzuki</t>
  </si>
  <si>
    <t>17220-R5A-A00</t>
  </si>
  <si>
    <t>Honda CRV (2012-14)</t>
  </si>
  <si>
    <t>17220-R1A-A01</t>
  </si>
  <si>
    <t xml:space="preserve">Honda Civic 4cyl. 1.8L (2012-13)  </t>
  </si>
  <si>
    <t>17220-RX0-A00</t>
  </si>
  <si>
    <t xml:space="preserve">Honda Civic Si 2.4L (2012-13)  </t>
  </si>
  <si>
    <t>4861737AA</t>
  </si>
  <si>
    <t xml:space="preserve">Chrysler Town &amp; Country, Dodge Grand Caravan  (2011-14), Ram Cargo Van (2012-14)  </t>
  </si>
  <si>
    <t>7B0-129-620A</t>
  </si>
  <si>
    <t>4593914AB</t>
  </si>
  <si>
    <t xml:space="preserve">Dodge Caliber (2011-12), Jeep Patriot, Compass  (2011-12) </t>
  </si>
  <si>
    <t>17220-RYE-A10</t>
  </si>
  <si>
    <t xml:space="preserve">Acura MDX (2010-13) , ZDX (2010-13) </t>
  </si>
  <si>
    <t>Scion iQ (2012-14) (Toyota )  Toyota Auris 1.33 VVT, 1.6 (5/09)</t>
  </si>
  <si>
    <t>04152-40060</t>
  </si>
  <si>
    <t>Toyota</t>
  </si>
  <si>
    <t>03H-115-562</t>
  </si>
  <si>
    <t>Volkswagen</t>
  </si>
  <si>
    <t xml:space="preserve">Volkswagen Passat (2012-14), Touareg (2011-14),  CC (2013-14) </t>
  </si>
  <si>
    <t>Porsche</t>
  </si>
  <si>
    <t>AE5Z-19N619-A</t>
  </si>
  <si>
    <t>FP-67</t>
  </si>
  <si>
    <t xml:space="preserve">Ford Fusion (2010-12), Mercury Milan (2010-11)  Lincoln MKZ (2010-12)  </t>
  </si>
  <si>
    <t>LF366</t>
  </si>
  <si>
    <t>AF1547</t>
  </si>
  <si>
    <t>A26144</t>
  </si>
  <si>
    <t>AF6144</t>
  </si>
  <si>
    <t>SA9894</t>
  </si>
  <si>
    <t>WAF5192</t>
  </si>
  <si>
    <t>AFC1522</t>
  </si>
  <si>
    <t>C26089</t>
  </si>
  <si>
    <t>WCAF1883</t>
  </si>
  <si>
    <t>AF1538</t>
  </si>
  <si>
    <t>33-2477</t>
  </si>
  <si>
    <t>A36274</t>
  </si>
  <si>
    <t>AF6274</t>
  </si>
  <si>
    <t>SA11258</t>
  </si>
  <si>
    <t>WAF5210</t>
  </si>
  <si>
    <t>AF1481</t>
  </si>
  <si>
    <t>33-2468</t>
  </si>
  <si>
    <t>C24021</t>
  </si>
  <si>
    <t>A26171</t>
  </si>
  <si>
    <t>AF6171</t>
  </si>
  <si>
    <t>WAF5201</t>
  </si>
  <si>
    <t>AF1508</t>
  </si>
  <si>
    <t>33-2473</t>
  </si>
  <si>
    <t>A26197</t>
  </si>
  <si>
    <t>AF6197</t>
  </si>
  <si>
    <t>SA11121</t>
  </si>
  <si>
    <t>WAF5208</t>
  </si>
  <si>
    <t>AF1490</t>
  </si>
  <si>
    <t>33-2462</t>
  </si>
  <si>
    <t>A36165</t>
  </si>
  <si>
    <t>AF6165</t>
  </si>
  <si>
    <t>WAF5198</t>
  </si>
  <si>
    <t>AF1531</t>
  </si>
  <si>
    <t>A16168</t>
  </si>
  <si>
    <t>AF6168</t>
  </si>
  <si>
    <t>SA11048</t>
  </si>
  <si>
    <t>WAF3612</t>
  </si>
  <si>
    <t>AF1463</t>
  </si>
  <si>
    <t>33-2454</t>
  </si>
  <si>
    <t>A26172</t>
  </si>
  <si>
    <t>AF6172</t>
  </si>
  <si>
    <t>WAF5186</t>
  </si>
  <si>
    <t>L16160</t>
  </si>
  <si>
    <t>CF6160</t>
  </si>
  <si>
    <t>WP996</t>
  </si>
  <si>
    <t>LF690</t>
  </si>
  <si>
    <t>L26293</t>
  </si>
  <si>
    <t>CF6293</t>
  </si>
  <si>
    <t>WP998</t>
  </si>
  <si>
    <t>AFC1460</t>
  </si>
  <si>
    <t>C36099</t>
  </si>
  <si>
    <t>WCAF1868</t>
  </si>
  <si>
    <t>LUBERFINER AIR PASSCAR</t>
  </si>
  <si>
    <t>CAF1897C</t>
  </si>
  <si>
    <t>LUBERFINER OIL PASSCAR</t>
  </si>
  <si>
    <t>PH2873</t>
  </si>
  <si>
    <t>038568739551</t>
  </si>
  <si>
    <t>10038568739558</t>
  </si>
  <si>
    <t>038568739957</t>
  </si>
  <si>
    <t>10038568739954</t>
  </si>
  <si>
    <t>2012 Chevrolet Traverse Standard media panel</t>
  </si>
  <si>
    <t xml:space="preserve">2013-14 Chevy Spark w/ L4-1.2L F/inj. engine. </t>
  </si>
  <si>
    <t>PH11462</t>
  </si>
  <si>
    <t>C26205C</t>
  </si>
  <si>
    <t>C26205</t>
  </si>
  <si>
    <t>WCAF1897</t>
  </si>
  <si>
    <t>WP10074</t>
  </si>
  <si>
    <t>L16291</t>
  </si>
  <si>
    <t>OF6291</t>
  </si>
  <si>
    <t>WPH2873</t>
  </si>
  <si>
    <t>AC Delco</t>
  </si>
  <si>
    <t>CF179C</t>
  </si>
  <si>
    <t>CF11663</t>
  </si>
  <si>
    <t>AF5204</t>
  </si>
  <si>
    <t>Scion iQ 2012-2014</t>
  </si>
  <si>
    <t>CA10762</t>
  </si>
  <si>
    <t>AF1543</t>
  </si>
  <si>
    <t>E1050L</t>
  </si>
  <si>
    <t>33-2486</t>
  </si>
  <si>
    <t>A16198</t>
  </si>
  <si>
    <t>AF6198</t>
  </si>
  <si>
    <t>SA10762</t>
  </si>
  <si>
    <t>WAF5204</t>
  </si>
  <si>
    <t>17801-40040</t>
  </si>
  <si>
    <t>LX2751</t>
  </si>
  <si>
    <t>038568739667</t>
  </si>
  <si>
    <t>10038568739664</t>
  </si>
  <si>
    <t>CAF1882P</t>
  </si>
  <si>
    <t>Luberfiner Air Filter</t>
  </si>
  <si>
    <t>L7662FK</t>
  </si>
  <si>
    <t>Luberfiner Fuel Filter</t>
  </si>
  <si>
    <t>AF5205</t>
  </si>
  <si>
    <t>P988</t>
  </si>
  <si>
    <t>Luberfiner Oil Filter</t>
  </si>
  <si>
    <t>LH9401</t>
  </si>
  <si>
    <t>Luberfiner Hydraulic Filter</t>
  </si>
  <si>
    <t>038568739544</t>
  </si>
  <si>
    <t>10038568739541</t>
  </si>
  <si>
    <t>038568738592</t>
  </si>
  <si>
    <t>10038568738599</t>
  </si>
  <si>
    <t>10038568738193 </t>
  </si>
  <si>
    <t>038568739780</t>
  </si>
  <si>
    <t>10038568739787</t>
  </si>
  <si>
    <t>038568739858</t>
  </si>
  <si>
    <t>10038568739855</t>
  </si>
  <si>
    <t>Austria</t>
  </si>
  <si>
    <t>038568737120</t>
  </si>
  <si>
    <t>10038568737127</t>
  </si>
  <si>
    <t>1884207C91</t>
  </si>
  <si>
    <t>1884207C92</t>
  </si>
  <si>
    <t>1889977C91</t>
  </si>
  <si>
    <t>1889978C91</t>
  </si>
  <si>
    <t>PF9914 KIT</t>
  </si>
  <si>
    <t xml:space="preserve">International TerraStar, 4300 Trucks with MaxxForce 7 (6.4L) Engine </t>
  </si>
  <si>
    <t>R33286</t>
  </si>
  <si>
    <t>Detroit Diesel</t>
  </si>
  <si>
    <t>Freightliner M2 Series, MT45 Chassis, Thomas C2, HDX Bus w/Mercedes-Benz MBE900 Eng.</t>
  </si>
  <si>
    <t>PT8458-MPG</t>
  </si>
  <si>
    <t>Heil</t>
  </si>
  <si>
    <t xml:space="preserve">Parker;  Heil </t>
  </si>
  <si>
    <t>P170084</t>
  </si>
  <si>
    <t>HF28761</t>
  </si>
  <si>
    <t>Pall</t>
  </si>
  <si>
    <t>HC2256FKS10Z</t>
  </si>
  <si>
    <t>CF10746</t>
  </si>
  <si>
    <t>AFC1472</t>
  </si>
  <si>
    <t>E1998LC</t>
  </si>
  <si>
    <t>CUK2231</t>
  </si>
  <si>
    <t>C36125C</t>
  </si>
  <si>
    <t>C36125</t>
  </si>
  <si>
    <t>WCAF1882</t>
  </si>
  <si>
    <t>Mitsubishi</t>
  </si>
  <si>
    <t>MN185231</t>
  </si>
  <si>
    <t xml:space="preserve">Mitsubishi Outlander /Lancer (2002-07)  </t>
  </si>
  <si>
    <t>MR398288</t>
  </si>
  <si>
    <t>68081249AC</t>
  </si>
  <si>
    <t>Chrysler 200 (2011-14), Dodge Avenger, Journey  (2011-14)</t>
  </si>
  <si>
    <t>CA11170</t>
  </si>
  <si>
    <t>33-2470</t>
  </si>
  <si>
    <t>A36151</t>
  </si>
  <si>
    <t>AF6151</t>
  </si>
  <si>
    <t>SA11170</t>
  </si>
  <si>
    <t>WAF5205</t>
  </si>
  <si>
    <t>9A110702400</t>
  </si>
  <si>
    <t xml:space="preserve">Porsche Boxster (2010-14), Cayman (2009-14)  </t>
  </si>
  <si>
    <t>CH11008</t>
  </si>
  <si>
    <t>WP988</t>
  </si>
  <si>
    <t>S11008</t>
  </si>
  <si>
    <t>CAF1875P</t>
  </si>
  <si>
    <t>LUBERFINER CABIN AIR PASSCAR</t>
  </si>
  <si>
    <t>Cab. Air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</si>
  <si>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</si>
  <si>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</si>
  <si>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</si>
  <si>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</si>
  <si>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</si>
  <si>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</si>
  <si>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</si>
  <si>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</si>
  <si>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</si>
  <si>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</si>
  <si>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</si>
  <si>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</si>
  <si>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</si>
  <si>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</si>
  <si>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</si>
  <si>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</si>
  <si>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</si>
  <si>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</si>
  <si>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</si>
  <si>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</si>
  <si>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</si>
  <si>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</si>
  <si>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33-2479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</si>
  <si>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</si>
  <si>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</si>
  <si>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</si>
  <si>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</si>
  <si>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</si>
  <si>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</si>
  <si>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</si>
  <si>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</si>
  <si>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</si>
  <si>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</si>
  <si>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Land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</si>
  <si>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</si>
  <si>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</si>
  <si>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</si>
  <si>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</si>
  <si>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</si>
  <si>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</si>
  <si>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</si>
  <si>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</si>
  <si>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</si>
  <si>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</si>
  <si>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</si>
  <si>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</si>
  <si>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</si>
  <si>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</si>
  <si>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</si>
  <si>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</si>
  <si>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</si>
  <si>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</si>
  <si>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</si>
  <si>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</si>
  <si>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</si>
  <si>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</si>
  <si>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</si>
  <si>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</si>
  <si>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</si>
  <si>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</si>
  <si>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</si>
  <si>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</si>
  <si>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</si>
  <si>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</si>
  <si>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</si>
  <si>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</si>
  <si>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</si>
  <si>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</si>
  <si>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</si>
  <si>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</si>
  <si>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</si>
  <si>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</si>
  <si>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</si>
  <si>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</si>
  <si>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</si>
  <si>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</si>
  <si>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</si>
  <si>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BMW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</si>
  <si>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</si>
  <si>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</si>
  <si>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</si>
  <si>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</si>
  <si>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</si>
  <si>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</si>
  <si>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</si>
  <si>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</si>
  <si>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</si>
  <si>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</si>
  <si>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</si>
  <si>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</si>
  <si>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</si>
  <si>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</si>
  <si>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</si>
  <si>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</si>
  <si>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</si>
  <si>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</si>
  <si>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</si>
  <si>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</si>
  <si>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</si>
  <si>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</si>
  <si>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</si>
  <si>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</si>
  <si>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</si>
  <si>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</si>
  <si>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</si>
  <si>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</si>
  <si>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</si>
  <si>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</si>
  <si>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</si>
  <si>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</si>
  <si>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</si>
  <si>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</si>
  <si>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</si>
  <si>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</si>
  <si>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</si>
  <si>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</si>
  <si>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</si>
  <si>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</si>
  <si>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</si>
  <si>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</si>
  <si>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</si>
  <si>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</si>
  <si>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</si>
  <si>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</si>
  <si>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</si>
  <si>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</si>
  <si>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</si>
  <si>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</si>
  <si>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</si>
  <si>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</si>
  <si>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</si>
  <si>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</si>
  <si>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</si>
  <si>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</si>
  <si>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</si>
  <si>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</si>
  <si>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</si>
  <si>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</si>
  <si>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</si>
  <si>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</si>
  <si>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</si>
  <si>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TBA</t>
  </si>
  <si>
    <t>LH22151</t>
  </si>
  <si>
    <t>P995</t>
  </si>
  <si>
    <t>P987</t>
  </si>
  <si>
    <t>CAF1879P</t>
  </si>
  <si>
    <t>CAF1876P</t>
  </si>
  <si>
    <t>CAF1864P</t>
  </si>
  <si>
    <t>CAF1884P</t>
  </si>
  <si>
    <t>2012-14 Audi Q3, Volkswagen Passat Diesel</t>
  </si>
  <si>
    <t>2011-14 BMW 5 Series, 7 Series, M5, M6</t>
  </si>
  <si>
    <t>2010-12 Chevrolet Camaro</t>
  </si>
  <si>
    <t>2010-11 Kia Soul</t>
  </si>
  <si>
    <t>2007-11 Mazda CX7</t>
  </si>
  <si>
    <t>HYDRAULIC  FILTER</t>
  </si>
  <si>
    <t>TXW8C-CC10</t>
  </si>
  <si>
    <t>Fairey Arlon</t>
  </si>
  <si>
    <t>TT220735</t>
  </si>
  <si>
    <t>Fairey Arlon; John Deere 350D, 400D Dump Trucks</t>
  </si>
  <si>
    <t>03L-115-562</t>
  </si>
  <si>
    <t>97133-2K000</t>
  </si>
  <si>
    <t>EG21-61-P11</t>
  </si>
  <si>
    <t>97133-2E250</t>
  </si>
  <si>
    <t>VW</t>
  </si>
  <si>
    <t>Kia</t>
  </si>
  <si>
    <t>2006-2009 Hyundai Tuscon with Halla HVAC system</t>
  </si>
  <si>
    <t>038568739902</t>
  </si>
  <si>
    <t>10038568739909</t>
  </si>
  <si>
    <t>038568739865</t>
  </si>
  <si>
    <t>10038568739862</t>
  </si>
  <si>
    <t>038568739704</t>
  </si>
  <si>
    <t>10038568739701</t>
  </si>
  <si>
    <t>038568739537</t>
  </si>
  <si>
    <t>10038568739534 </t>
  </si>
  <si>
    <t>038568740007</t>
  </si>
  <si>
    <t>10038568740004</t>
  </si>
  <si>
    <t>038568739988</t>
  </si>
  <si>
    <t>10038568739985</t>
  </si>
  <si>
    <t>038568739995</t>
  </si>
  <si>
    <t>10038568739992</t>
  </si>
  <si>
    <t>PT8971-MPG</t>
  </si>
  <si>
    <t>P172467</t>
  </si>
  <si>
    <t>HF7964</t>
  </si>
  <si>
    <t>CH10759</t>
  </si>
  <si>
    <t>LF674</t>
  </si>
  <si>
    <t>E115HD208</t>
  </si>
  <si>
    <t>OX388</t>
  </si>
  <si>
    <t>HU7008Z</t>
  </si>
  <si>
    <t>CF6288</t>
  </si>
  <si>
    <t>L26288</t>
  </si>
  <si>
    <t>WP995</t>
  </si>
  <si>
    <t>CH1007</t>
  </si>
  <si>
    <t>LF665</t>
  </si>
  <si>
    <t>OX353/3</t>
  </si>
  <si>
    <t>HU8007Z</t>
  </si>
  <si>
    <t>L25904</t>
  </si>
  <si>
    <t>CF5904</t>
  </si>
  <si>
    <t>S11007</t>
  </si>
  <si>
    <t>WP987</t>
  </si>
  <si>
    <t>AC DELCO</t>
  </si>
  <si>
    <t>CF178</t>
  </si>
  <si>
    <t>CF11667</t>
  </si>
  <si>
    <t>AFC1504</t>
  </si>
  <si>
    <t>C46126</t>
  </si>
  <si>
    <t>WCAF1879</t>
  </si>
  <si>
    <t>CF10776</t>
  </si>
  <si>
    <t>C26086</t>
  </si>
  <si>
    <t>WCAF1876</t>
  </si>
  <si>
    <t>CF11671</t>
  </si>
  <si>
    <t>C25858</t>
  </si>
  <si>
    <t>WCAF1864</t>
  </si>
  <si>
    <t>CF11184</t>
  </si>
  <si>
    <t>C26073</t>
  </si>
  <si>
    <t>WCAF1884</t>
  </si>
  <si>
    <t>LK368CA</t>
  </si>
  <si>
    <t xml:space="preserve"> MAINTENANCE KIT</t>
  </si>
  <si>
    <t>038568740281</t>
  </si>
  <si>
    <t>10038568740288</t>
  </si>
  <si>
    <t>Jobber Price Was</t>
  </si>
  <si>
    <t>OIL FILTER</t>
  </si>
  <si>
    <t>AIR FILTER</t>
  </si>
  <si>
    <t xml:space="preserve"> FUEL FILTER</t>
  </si>
  <si>
    <t>L5094F</t>
  </si>
  <si>
    <t>FUEL FILTER</t>
  </si>
  <si>
    <t>Peterbilt Trucks with ISX engine</t>
  </si>
  <si>
    <t>Paccar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</si>
  <si>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</si>
  <si>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</si>
  <si>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</si>
  <si>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</si>
  <si>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</si>
  <si>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</si>
  <si>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</si>
  <si>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</si>
  <si>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</si>
  <si>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</si>
  <si>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</si>
  <si>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Carrier</t>
  </si>
  <si>
    <t>DAVCO</t>
  </si>
  <si>
    <t>PF7687</t>
  </si>
  <si>
    <t>P550460</t>
  </si>
  <si>
    <t>FS19730</t>
  </si>
  <si>
    <t>CS8031A</t>
  </si>
  <si>
    <t>038568735966</t>
  </si>
  <si>
    <t>10038568735963</t>
  </si>
  <si>
    <t>Kensworth W900, W900L Trucks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</si>
  <si>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</si>
  <si>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</si>
  <si>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</si>
  <si>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</si>
  <si>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</si>
  <si>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</si>
  <si>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</si>
  <si>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</si>
  <si>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</si>
  <si>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</si>
  <si>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 xml:space="preserve">HD </t>
  </si>
  <si>
    <t>HYDRAULIC FILTER *</t>
  </si>
  <si>
    <t>Parker 932630Q,Pall HC2256FKS10Z  Glass media and viton gasket</t>
  </si>
  <si>
    <t xml:space="preserve">Consists of: 1-LFP3191, 1-LFF4783, 1-LFP1652 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</si>
  <si>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</si>
  <si>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</si>
  <si>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</si>
  <si>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</si>
  <si>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</si>
  <si>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</si>
  <si>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</si>
  <si>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</si>
  <si>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</si>
  <si>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</si>
  <si>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</si>
  <si>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</si>
  <si>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</si>
  <si>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 xml:space="preserve">* Part number introduced in March without price reference </t>
  </si>
  <si>
    <t>Jobber Price Was:</t>
  </si>
  <si>
    <t>LAF8777</t>
  </si>
  <si>
    <t>LFP6027</t>
  </si>
  <si>
    <t>038568738028</t>
  </si>
  <si>
    <t>10038568738025</t>
  </si>
  <si>
    <t>CABIN AIR FILTER</t>
  </si>
  <si>
    <t>1899332C91</t>
  </si>
  <si>
    <t>LK366C</t>
  </si>
  <si>
    <t>Kit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</si>
  <si>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</si>
  <si>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</si>
  <si>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</si>
  <si>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</si>
  <si>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</si>
  <si>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</si>
  <si>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</si>
  <si>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</si>
  <si>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</si>
  <si>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</si>
  <si>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</si>
  <si>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</si>
  <si>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</si>
  <si>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</si>
  <si>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</si>
  <si>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</si>
  <si>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</si>
  <si>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</si>
  <si>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</si>
  <si>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International 4300 Durastar Truck (2011) with Maxxforce 7 eng.</t>
  </si>
  <si>
    <t>1893553C2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</si>
  <si>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</si>
  <si>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</si>
  <si>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</si>
  <si>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</si>
  <si>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</si>
  <si>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</si>
  <si>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</si>
  <si>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</si>
  <si>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</si>
  <si>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</si>
  <si>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</si>
  <si>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</si>
  <si>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</si>
  <si>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</si>
  <si>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</si>
  <si>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</si>
  <si>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</si>
  <si>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</si>
  <si>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</si>
  <si>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</si>
  <si>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</si>
  <si>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</si>
  <si>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</si>
  <si>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</si>
  <si>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</si>
  <si>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</si>
  <si>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</si>
  <si>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</si>
  <si>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</si>
  <si>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</si>
  <si>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</si>
  <si>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</si>
  <si>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</si>
  <si>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</si>
  <si>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</si>
  <si>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</si>
  <si>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</si>
  <si>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</si>
  <si>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</si>
  <si>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</si>
  <si>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</si>
  <si>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</si>
  <si>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</si>
  <si>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</si>
  <si>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</si>
  <si>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</si>
  <si>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</si>
  <si>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</si>
  <si>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LW4076XL</t>
  </si>
  <si>
    <t>LAF1787</t>
  </si>
  <si>
    <t>L8874FK</t>
  </si>
  <si>
    <t>LH4385-25</t>
  </si>
  <si>
    <t>038568738486</t>
  </si>
  <si>
    <t>10038568738483</t>
  </si>
  <si>
    <t>LFF9737</t>
  </si>
  <si>
    <t>038568738356</t>
  </si>
  <si>
    <t>10038568738353</t>
  </si>
  <si>
    <t>LFF9772</t>
  </si>
  <si>
    <t>038568737274</t>
  </si>
  <si>
    <t>10038568737271</t>
  </si>
  <si>
    <t>LFP6930</t>
  </si>
  <si>
    <t>038568738424</t>
  </si>
  <si>
    <t>10038568738421</t>
  </si>
  <si>
    <t>LAF6101</t>
  </si>
  <si>
    <t>RADIAL SEAL AIR FILTER</t>
  </si>
  <si>
    <t>038568735812</t>
  </si>
  <si>
    <t>10038568735819</t>
  </si>
  <si>
    <t>LAF4162</t>
  </si>
  <si>
    <t xml:space="preserve">Murphy Diesel; Caterpillar; Onan Generators. </t>
  </si>
  <si>
    <t>3I0011</t>
  </si>
  <si>
    <t>Murphy</t>
  </si>
  <si>
    <t>MD43843</t>
  </si>
  <si>
    <t>Onan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</si>
  <si>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</si>
  <si>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</si>
  <si>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</si>
  <si>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</si>
  <si>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</si>
  <si>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</si>
  <si>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</si>
  <si>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A3101C</t>
  </si>
  <si>
    <t>LAF9104</t>
  </si>
  <si>
    <t xml:space="preserve">International Durastar  Trucks (2012)  </t>
  </si>
  <si>
    <t>2602212C1</t>
  </si>
  <si>
    <t xml:space="preserve"> P623400</t>
  </si>
  <si>
    <t>038568740328</t>
  </si>
  <si>
    <t>10038568740325</t>
  </si>
  <si>
    <t>LAF9498</t>
  </si>
  <si>
    <t xml:space="preserve">Western Star 4700 Series </t>
  </si>
  <si>
    <t>Western Star</t>
  </si>
  <si>
    <t>P619498</t>
  </si>
  <si>
    <t>038568740311</t>
  </si>
  <si>
    <t>10038568740318</t>
  </si>
  <si>
    <t>LFF7660</t>
  </si>
  <si>
    <t>FUEL/WATER SEPARATOR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</si>
  <si>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</si>
  <si>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</si>
  <si>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</si>
  <si>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</si>
  <si>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</si>
  <si>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</si>
  <si>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 xml:space="preserve"> NH TS125A, TS135A  Tractors</t>
  </si>
  <si>
    <t>BF1371</t>
  </si>
  <si>
    <t>FS19772</t>
  </si>
  <si>
    <t>Volvo A25D, A30D, A35D, A40D  Dump Trucks; Volvo EC290LC excavator.</t>
  </si>
  <si>
    <t>BF1391-O</t>
  </si>
  <si>
    <t>P559118</t>
  </si>
  <si>
    <t>FS19914</t>
  </si>
  <si>
    <t>PS10701</t>
  </si>
  <si>
    <t>John Deere 9330, 9430, 9530, 9630 Tractors  with PowerTech 13.5L engine (2007-)</t>
  </si>
  <si>
    <t>RE530107</t>
  </si>
  <si>
    <t>BD5373</t>
  </si>
  <si>
    <t>LF9032</t>
  </si>
  <si>
    <t>Bomag, Schroeder A25 Equipment, Marvel Hydraulics</t>
  </si>
  <si>
    <t>LK367C</t>
  </si>
  <si>
    <r>
      <t xml:space="preserve"> MAINTENANCE KIT -- Consists of:           </t>
    </r>
    <r>
      <rPr>
        <sz val="11"/>
        <color rgb="FFFF0000"/>
        <rFont val="Calibri"/>
        <family val="2"/>
      </rPr>
      <t>1-LFP3970</t>
    </r>
    <r>
      <rPr>
        <sz val="11"/>
        <color rgb="FF000000"/>
        <rFont val="Calibri"/>
        <family val="2"/>
      </rPr>
      <t>,</t>
    </r>
    <r>
      <rPr>
        <sz val="11"/>
        <color theme="3" tint="0.39997558519241921"/>
        <rFont val="Calibri"/>
        <family val="2"/>
      </rPr>
      <t xml:space="preserve"> 1-LFF5632</t>
    </r>
    <r>
      <rPr>
        <sz val="11"/>
        <color rgb="FF000000"/>
        <rFont val="Calibri"/>
        <family val="2"/>
      </rPr>
      <t xml:space="preserve">, </t>
    </r>
    <r>
      <rPr>
        <sz val="11"/>
        <color rgb="FF00B050"/>
        <rFont val="Calibri"/>
        <family val="2"/>
      </rPr>
      <t>1-LFF1065</t>
    </r>
    <r>
      <rPr>
        <sz val="11"/>
        <color rgb="FF000000"/>
        <rFont val="Calibri"/>
        <family val="2"/>
      </rPr>
      <t xml:space="preserve">,         </t>
    </r>
    <r>
      <rPr>
        <sz val="11"/>
        <color rgb="FF7030A0"/>
        <rFont val="Calibri"/>
        <family val="2"/>
      </rPr>
      <t xml:space="preserve">1-LFP1652 </t>
    </r>
  </si>
  <si>
    <r>
      <rPr>
        <i/>
        <sz val="10"/>
        <color rgb="FFFF0000"/>
        <rFont val="Arial"/>
        <family val="2"/>
      </rPr>
      <t>Cummins ISB5.9L Engines</t>
    </r>
    <r>
      <rPr>
        <i/>
        <sz val="10"/>
        <rFont val="Arial"/>
        <family val="2"/>
      </rPr>
      <t xml:space="preserve"> | </t>
    </r>
    <r>
      <rPr>
        <i/>
        <sz val="10"/>
        <color theme="3" tint="0.39997558519241921"/>
        <rFont val="Arial"/>
        <family val="2"/>
      </rPr>
      <t xml:space="preserve"> ISB07</t>
    </r>
    <r>
      <rPr>
        <i/>
        <sz val="10"/>
        <rFont val="Arial"/>
        <family val="2"/>
      </rPr>
      <t xml:space="preserve"> |</t>
    </r>
    <r>
      <rPr>
        <i/>
        <sz val="10"/>
        <color rgb="FF00B050"/>
        <rFont val="Arial"/>
        <family val="2"/>
      </rPr>
      <t xml:space="preserve"> ISC eng. 2007-on</t>
    </r>
    <r>
      <rPr>
        <i/>
        <sz val="10"/>
        <rFont val="Arial"/>
        <family val="2"/>
      </rPr>
      <t xml:space="preserve"> |  </t>
    </r>
    <r>
      <rPr>
        <i/>
        <sz val="10"/>
        <color rgb="FF7030A0"/>
        <rFont val="Arial"/>
        <family val="2"/>
      </rPr>
      <t>Gresen 1551; Lenz CP-752-10; Northwest Fluid Power S28;  Ford and Fordson Tractors</t>
    </r>
  </si>
  <si>
    <t>038568740250</t>
  </si>
  <si>
    <t>10038568740257</t>
  </si>
  <si>
    <t>T951</t>
  </si>
  <si>
    <t>TRANSMISSION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</si>
  <si>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</si>
  <si>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GMC</t>
  </si>
  <si>
    <t>Allison</t>
  </si>
  <si>
    <t>T15085</t>
  </si>
  <si>
    <t>FT1228</t>
  </si>
  <si>
    <t>TF195</t>
  </si>
  <si>
    <t>1-8668</t>
  </si>
  <si>
    <t>P1307</t>
  </si>
  <si>
    <t>038568739971</t>
  </si>
  <si>
    <t>10038568739978</t>
  </si>
  <si>
    <t>Filter Dimensions</t>
  </si>
  <si>
    <t>OD</t>
  </si>
  <si>
    <t>ID</t>
  </si>
  <si>
    <t>LAF5749</t>
  </si>
  <si>
    <t>LAF4638</t>
  </si>
  <si>
    <t>LAF4179</t>
  </si>
  <si>
    <t>Round Air Filter</t>
  </si>
  <si>
    <t>038568737649</t>
  </si>
  <si>
    <t>10038568737646</t>
  </si>
  <si>
    <t>038568738431</t>
  </si>
  <si>
    <t>10038568738438</t>
  </si>
  <si>
    <t>LAF8878</t>
  </si>
  <si>
    <t>LH7528</t>
  </si>
  <si>
    <t>John Deere 9660STS Combine  (For Sec. air use LAF8879) (Radial Seal)</t>
  </si>
  <si>
    <t>ME-017246</t>
  </si>
  <si>
    <t>ME-017233</t>
  </si>
  <si>
    <t xml:space="preserve">Mitsubishi FE, FG Series  Mitsubishi ME017233; Mitsubishi FE140 Trucks  Trucks  </t>
  </si>
  <si>
    <t xml:space="preserve">Komatsu Dozers,Excavators, and Dump trucks.  Scania R  Series trucks.  </t>
  </si>
  <si>
    <t>K3181-82251</t>
  </si>
  <si>
    <t>Kubota ZD326 and ZD331 mowers. Inner used with LAF5771</t>
  </si>
  <si>
    <t>AH212294</t>
  </si>
  <si>
    <t>1695528C1</t>
  </si>
  <si>
    <t>International Cart. P/S on  International 3000 School Bus (2006-)</t>
  </si>
  <si>
    <t>038568738370</t>
  </si>
  <si>
    <t>10038568738377</t>
  </si>
  <si>
    <t>038568737977</t>
  </si>
  <si>
    <t>10038568737974</t>
  </si>
  <si>
    <t>RS4638</t>
  </si>
  <si>
    <t>P608885</t>
  </si>
  <si>
    <t>AF25627</t>
  </si>
  <si>
    <t>49770</t>
  </si>
  <si>
    <t>CA9966</t>
  </si>
  <si>
    <t>RS3991</t>
  </si>
  <si>
    <t>AF26388</t>
  </si>
  <si>
    <t>P780018</t>
  </si>
  <si>
    <t>49968</t>
  </si>
  <si>
    <t>RS4806</t>
  </si>
  <si>
    <t>P500191</t>
  </si>
  <si>
    <t>AF27690</t>
  </si>
  <si>
    <t>CA9245</t>
  </si>
  <si>
    <t>42796</t>
  </si>
  <si>
    <t>RS5470</t>
  </si>
  <si>
    <t>P618930</t>
  </si>
  <si>
    <t>49294</t>
  </si>
  <si>
    <t>PT9419-MPG</t>
  </si>
  <si>
    <t>57528</t>
  </si>
  <si>
    <t>038568739889</t>
  </si>
  <si>
    <t>10038568739886</t>
  </si>
  <si>
    <t>individual units are packed into a poly bag</t>
  </si>
  <si>
    <t>G368</t>
  </si>
  <si>
    <t xml:space="preserve">O-Ring </t>
  </si>
  <si>
    <t xml:space="preserve"> Used in LP7485 By-Pass Oil Filter (Service Part)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</si>
  <si>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</si>
  <si>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</si>
  <si>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</si>
  <si>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</si>
  <si>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</si>
  <si>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</si>
  <si>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</si>
  <si>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</si>
  <si>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</si>
  <si>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</si>
  <si>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</si>
  <si>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</si>
  <si>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</si>
  <si>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</si>
  <si>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</si>
  <si>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</si>
  <si>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1 3/4 - 12</t>
  </si>
  <si>
    <t>Volvo contstuction equipment</t>
  </si>
  <si>
    <t>BF1363</t>
  </si>
  <si>
    <t>Case International Applications: Maxxum and Puma series tractors</t>
  </si>
  <si>
    <t>BD7353</t>
  </si>
  <si>
    <t>57307</t>
  </si>
  <si>
    <t>Chevrolet/GMC Kodiak/Topkick C6500/7500/8500  Trucks &amp; Buses with L6 7.8L Isuzu (Duramax) Turbo Diesel</t>
  </si>
  <si>
    <t>RS5767</t>
  </si>
  <si>
    <t>49832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</si>
  <si>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</si>
  <si>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</si>
  <si>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</si>
  <si>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</si>
  <si>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</si>
  <si>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</si>
  <si>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</si>
  <si>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</si>
  <si>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</si>
  <si>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</si>
  <si>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</si>
  <si>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</si>
  <si>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</si>
  <si>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</si>
  <si>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</si>
  <si>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</si>
  <si>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</si>
  <si>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Radial Seal Air Filter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</si>
</sst>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"/>
    <numFmt numFmtId="165" formatCode="0.000"/>
    <numFmt numFmtId="166" formatCode="[$-409]d\-mmm\-yy;@"/>
    <numFmt numFmtId="167" formatCode="[$-409]mmmm\ d\,\ yyyy;@"/>
  </numFmts>
  <fonts count="59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name val="Calibri"/>
      <family val="2"/>
      <scheme val="minor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</font>
    <font>
      <sz val="11"/>
      <color theme="3" tint="0.39997558519241921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i/>
      <sz val="10"/>
      <color rgb="FFFF0000"/>
      <name val="Arial"/>
      <family val="2"/>
    </font>
    <font>
      <i/>
      <sz val="10"/>
      <color theme="3" tint="0.39997558519241921"/>
      <name val="Arial"/>
      <family val="2"/>
    </font>
    <font>
      <i/>
      <sz val="10"/>
      <color rgb="FF00B050"/>
      <name val="Arial"/>
      <family val="2"/>
    </font>
    <font>
      <i/>
      <sz val="10"/>
      <color rgb="FF7030A0"/>
      <name val="Arial"/>
      <family val="2"/>
    </font>
    <font>
      <b/>
      <i/>
      <sz val="11"/>
      <color theme="6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407">
    <xf numFmtId="0" fontId="0" fillId="0" borderId="0" xfId="0"/>
    <xf numFmtId="0" fontId="0" fillId="0" borderId="0" xfId="0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8" fontId="0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NumberFormat="1" applyFill="1" applyBorder="1" applyAlignment="1">
      <alignment horizontal="left" vertical="center"/>
    </xf>
    <xf numFmtId="8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28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0" fillId="0" borderId="0" xfId="0" applyNumberFormat="1" applyBorder="1"/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9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4" fontId="29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1" xfId="0" applyNumberFormat="1" applyFont="1" applyBorder="1"/>
    <xf numFmtId="0" fontId="29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5" fontId="24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/>
    <xf numFmtId="165" fontId="15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0" fillId="0" borderId="0" xfId="0" applyNumberFormat="1"/>
    <xf numFmtId="49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32" fillId="0" borderId="0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/>
    <xf numFmtId="0" fontId="34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/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5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39" fillId="0" borderId="1" xfId="0" applyFont="1" applyBorder="1"/>
    <xf numFmtId="0" fontId="2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49" fontId="40" fillId="6" borderId="0" xfId="0" applyNumberFormat="1" applyFont="1" applyFill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/>
    <xf numFmtId="164" fontId="0" fillId="0" borderId="0" xfId="0" applyNumberFormat="1" applyFont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/>
    </xf>
    <xf numFmtId="167" fontId="4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4" fontId="0" fillId="7" borderId="1" xfId="0" applyNumberForma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wrapText="1"/>
    </xf>
    <xf numFmtId="165" fontId="28" fillId="0" borderId="1" xfId="0" applyNumberFormat="1" applyFont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49" fontId="10" fillId="3" borderId="0" xfId="0" applyNumberFormat="1" applyFont="1" applyFill="1" applyAlignment="1">
      <alignment vertical="center" wrapText="1"/>
    </xf>
    <xf numFmtId="165" fontId="36" fillId="4" borderId="0" xfId="0" applyNumberFormat="1" applyFont="1" applyFill="1" applyAlignment="1">
      <alignment vertical="center" wrapText="1"/>
    </xf>
    <xf numFmtId="165" fontId="37" fillId="5" borderId="0" xfId="0" applyNumberFormat="1" applyFont="1" applyFill="1" applyAlignment="1">
      <alignment vertical="center" wrapText="1"/>
    </xf>
    <xf numFmtId="1" fontId="38" fillId="4" borderId="0" xfId="0" applyNumberFormat="1" applyFont="1" applyFill="1" applyAlignment="1">
      <alignment vertical="center" wrapText="1"/>
    </xf>
    <xf numFmtId="165" fontId="0" fillId="0" borderId="2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43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2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0" fillId="0" borderId="4" xfId="0" applyBorder="1" applyAlignment="1"/>
    <xf numFmtId="0" fontId="0" fillId="0" borderId="3" xfId="0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/>
    <xf numFmtId="165" fontId="0" fillId="0" borderId="4" xfId="0" applyNumberFormat="1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/>
    </xf>
    <xf numFmtId="0" fontId="43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wrapText="1"/>
    </xf>
    <xf numFmtId="165" fontId="28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3" fillId="0" borderId="1" xfId="0" applyFont="1" applyFill="1" applyBorder="1" applyAlignment="1" applyProtection="1">
      <alignment horizontal="center" wrapText="1"/>
    </xf>
    <xf numFmtId="0" fontId="0" fillId="0" borderId="1" xfId="1" applyFont="1" applyBorder="1" applyAlignment="1">
      <alignment horizontal="center" wrapText="1"/>
    </xf>
    <xf numFmtId="0" fontId="0" fillId="8" borderId="0" xfId="0" applyNumberForma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46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48" fillId="0" borderId="1" xfId="0" applyFont="1" applyFill="1" applyBorder="1" applyAlignment="1" applyProtection="1">
      <alignment horizontal="center" wrapText="1"/>
    </xf>
    <xf numFmtId="0" fontId="47" fillId="0" borderId="1" xfId="0" applyFont="1" applyBorder="1" applyAlignment="1">
      <alignment horizontal="center" wrapText="1"/>
    </xf>
    <xf numFmtId="0" fontId="49" fillId="0" borderId="1" xfId="0" applyFont="1" applyFill="1" applyBorder="1" applyAlignment="1">
      <alignment wrapText="1"/>
    </xf>
    <xf numFmtId="0" fontId="39" fillId="0" borderId="0" xfId="0" applyFont="1" applyAlignment="1">
      <alignment horizontal="center" wrapText="1"/>
    </xf>
    <xf numFmtId="0" fontId="28" fillId="0" borderId="1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28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1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5" fontId="28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1" fontId="45" fillId="0" borderId="1" xfId="0" applyNumberFormat="1" applyFon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38" fillId="4" borderId="0" xfId="0" applyNumberFormat="1" applyFont="1" applyFill="1" applyAlignment="1">
      <alignment horizontal="center" vertical="center" wrapText="1"/>
    </xf>
    <xf numFmtId="0" fontId="8" fillId="9" borderId="0" xfId="0" applyNumberFormat="1" applyFont="1" applyFill="1" applyBorder="1" applyAlignment="1">
      <alignment horizontal="center" vertical="center"/>
    </xf>
    <xf numFmtId="49" fontId="40" fillId="6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 vertical="center" wrapText="1"/>
    </xf>
    <xf numFmtId="165" fontId="36" fillId="4" borderId="0" xfId="0" applyNumberFormat="1" applyFont="1" applyFill="1" applyAlignment="1">
      <alignment horizontal="center" vertical="center" wrapText="1"/>
    </xf>
    <xf numFmtId="49" fontId="58" fillId="10" borderId="0" xfId="0" applyNumberFormat="1" applyFont="1" applyFill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EDB3B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666750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847725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847725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19250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990600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0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63869" y="242407"/>
          <a:ext cx="918881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990600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009650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0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7969" y="242407"/>
          <a:ext cx="518831" cy="148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1085850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256091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7669" y="242407"/>
          <a:ext cx="1174972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1085850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256091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7669" y="242407"/>
          <a:ext cx="1174972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1085850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90769</xdr:colOff>
      <xdr:row>1</xdr:row>
      <xdr:rowOff>51907</xdr:rowOff>
    </xdr:from>
    <xdr:to>
      <xdr:col>7</xdr:col>
      <xdr:colOff>256091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7669" y="242407"/>
          <a:ext cx="1174972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W15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" style="11" customWidth="1"/>
    <col min="5" max="5" width="51" style="136" customWidth="1"/>
    <col min="6" max="6" width="22.7109375" style="11" customWidth="1"/>
    <col min="7" max="7" width="15.7109375" style="11" customWidth="1"/>
    <col min="8" max="8" width="14.7109375" style="11" customWidth="1"/>
    <col min="9" max="9" width="12.5703125" style="11" customWidth="1"/>
    <col min="10" max="10" width="13.42578125" style="11" customWidth="1"/>
    <col min="11" max="11" width="13.140625" style="11" customWidth="1"/>
    <col min="12" max="12" width="13.42578125" style="11" customWidth="1"/>
    <col min="13" max="13" width="13.28515625" style="11" customWidth="1"/>
    <col min="14" max="14" width="13.42578125" style="11" customWidth="1"/>
    <col min="15" max="15" width="10.7109375" style="11" customWidth="1"/>
    <col min="16" max="16" width="13.42578125" style="11" customWidth="1"/>
    <col min="17" max="17" width="9.7109375" style="11" customWidth="1"/>
    <col min="18" max="18" width="13.140625" style="11" customWidth="1"/>
    <col min="19" max="19" width="12.140625" style="11" customWidth="1"/>
    <col min="20" max="20" width="11.42578125" style="11" customWidth="1"/>
    <col min="21" max="21" width="6.140625" style="11" customWidth="1"/>
    <col min="22" max="22" width="9.7109375" style="11" customWidth="1"/>
    <col min="23" max="23" width="7.140625" style="11" customWidth="1"/>
    <col min="24" max="24" width="11.28515625" style="11" customWidth="1"/>
    <col min="25" max="25" width="9.42578125" style="11" customWidth="1"/>
    <col min="26" max="26" width="10.5703125" style="11" customWidth="1"/>
    <col min="27" max="28" width="8.42578125" style="11" customWidth="1"/>
    <col min="29" max="29" width="12.5703125" style="11" customWidth="1"/>
    <col min="30" max="30" width="7.7109375" style="11" customWidth="1"/>
    <col min="31" max="31" width="10.28515625" style="11" customWidth="1"/>
    <col min="32" max="32" width="15.5703125" style="11" customWidth="1"/>
    <col min="33" max="33" width="9.5703125" style="11" customWidth="1"/>
    <col min="34" max="34" width="10.5703125" style="11" customWidth="1"/>
    <col min="35" max="35" width="6.140625" style="11" customWidth="1"/>
    <col min="36" max="37" width="9.28515625" style="11" customWidth="1"/>
    <col min="38" max="38" width="14.140625" style="11" customWidth="1"/>
    <col min="39" max="39" width="11" style="11" customWidth="1"/>
    <col min="40" max="40" width="9.140625" style="11" customWidth="1"/>
    <col min="41" max="41" width="13" style="11" customWidth="1"/>
    <col min="42" max="42" width="9.140625" style="11" customWidth="1"/>
    <col min="43" max="43" width="14.85546875" style="11" customWidth="1"/>
    <col min="44" max="44" width="17.140625" style="11" customWidth="1"/>
    <col min="45" max="45" width="11.5703125" style="11" bestFit="1" customWidth="1"/>
    <col min="46" max="46" width="11.140625" style="11" bestFit="1" customWidth="1"/>
    <col min="47" max="47" width="11.42578125" style="11" bestFit="1" customWidth="1"/>
    <col min="48" max="48" width="8.28515625" style="11" bestFit="1" customWidth="1"/>
    <col min="49" max="49" width="11.42578125" style="11" bestFit="1" customWidth="1"/>
    <col min="50" max="50" width="8.85546875" style="11" bestFit="1" customWidth="1"/>
    <col min="51" max="51" width="7" style="11" bestFit="1" customWidth="1"/>
    <col min="52" max="52" width="17.85546875" style="11" customWidth="1"/>
    <col min="53" max="53" width="6.85546875" style="11" bestFit="1" customWidth="1"/>
    <col min="54" max="54" width="6.7109375" style="11" customWidth="1"/>
    <col min="55" max="55" width="7.5703125" style="11" bestFit="1" customWidth="1"/>
    <col min="56" max="56" width="7" style="11" bestFit="1" customWidth="1"/>
    <col min="57" max="57" width="20.140625" style="11" bestFit="1" customWidth="1"/>
    <col min="58" max="58" width="6.85546875" style="11" bestFit="1" customWidth="1"/>
    <col min="59" max="59" width="5.5703125" style="11" bestFit="1" customWidth="1"/>
    <col min="60" max="60" width="7.5703125" style="11" bestFit="1" customWidth="1"/>
    <col min="61" max="61" width="17.85546875" style="11" customWidth="1"/>
    <col min="62" max="62" width="10.42578125" style="11" bestFit="1" customWidth="1"/>
    <col min="63" max="63" width="12" style="11" bestFit="1" customWidth="1"/>
    <col min="64" max="65" width="14.42578125" style="11" bestFit="1" customWidth="1"/>
    <col min="66" max="66" width="13.28515625" style="11" bestFit="1" customWidth="1"/>
    <col min="67" max="67" width="16.28515625" style="11" bestFit="1" customWidth="1"/>
    <col min="68" max="68" width="22.28515625" style="11" customWidth="1"/>
    <col min="69" max="69" width="12.140625" style="11" hidden="1" customWidth="1"/>
    <col min="70" max="70" width="15.42578125" style="11" hidden="1" customWidth="1"/>
    <col min="71" max="71" width="12.42578125" style="11" hidden="1" customWidth="1"/>
    <col min="72" max="16384" width="9.140625" style="11"/>
  </cols>
  <sheetData>
    <row r="2" spans="1:75" ht="23.25">
      <c r="E2" s="9" t="s">
        <v>578</v>
      </c>
      <c r="G2" s="9"/>
      <c r="H2" s="10"/>
    </row>
    <row r="3" spans="1:75" ht="20.25">
      <c r="E3" s="242">
        <v>41835</v>
      </c>
    </row>
    <row r="4" spans="1:75" ht="15.75" customHeight="1">
      <c r="D4" s="137" t="s">
        <v>17</v>
      </c>
      <c r="F4" s="330"/>
      <c r="G4" s="330"/>
      <c r="H4" s="331" t="s">
        <v>15</v>
      </c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90" t="s">
        <v>16</v>
      </c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1" t="s">
        <v>703</v>
      </c>
      <c r="AP4" s="391"/>
      <c r="AQ4" s="392" t="s">
        <v>19</v>
      </c>
      <c r="AR4" s="392"/>
      <c r="AS4" s="394" t="s">
        <v>1523</v>
      </c>
      <c r="AT4" s="394"/>
      <c r="AU4" s="394"/>
      <c r="AV4" s="394"/>
      <c r="AW4" s="394"/>
      <c r="AX4" s="394"/>
      <c r="AY4" s="393" t="s">
        <v>22</v>
      </c>
      <c r="AZ4" s="393"/>
      <c r="BA4" s="393"/>
      <c r="BB4" s="393"/>
      <c r="BC4" s="393"/>
      <c r="BD4" s="398" t="s">
        <v>28</v>
      </c>
      <c r="BE4" s="398"/>
      <c r="BF4" s="398"/>
      <c r="BG4" s="398"/>
      <c r="BH4" s="398"/>
      <c r="BI4" s="389" t="s">
        <v>34</v>
      </c>
      <c r="BJ4" s="389"/>
      <c r="BK4" s="389"/>
      <c r="BL4" s="389"/>
      <c r="BM4" s="389"/>
      <c r="BN4" s="389"/>
      <c r="BO4" s="389"/>
      <c r="BP4" s="389"/>
    </row>
    <row r="5" spans="1:75">
      <c r="B5" s="139" t="s">
        <v>0</v>
      </c>
      <c r="C5" s="150" t="s">
        <v>658</v>
      </c>
      <c r="D5" s="139" t="s">
        <v>2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738</v>
      </c>
      <c r="AL5" s="32" t="s">
        <v>39</v>
      </c>
      <c r="AM5" s="32" t="s">
        <v>40</v>
      </c>
      <c r="AN5" s="32" t="s">
        <v>13</v>
      </c>
      <c r="AO5" s="37" t="s">
        <v>20</v>
      </c>
      <c r="AP5" s="37" t="s">
        <v>21</v>
      </c>
      <c r="AQ5" s="33" t="s">
        <v>18</v>
      </c>
      <c r="AR5" s="33" t="s">
        <v>55</v>
      </c>
      <c r="AS5" s="360" t="s">
        <v>23</v>
      </c>
      <c r="AT5" s="360" t="s">
        <v>24</v>
      </c>
      <c r="AU5" s="360" t="s">
        <v>25</v>
      </c>
      <c r="AV5" s="360" t="s">
        <v>1524</v>
      </c>
      <c r="AW5" s="360" t="s">
        <v>25</v>
      </c>
      <c r="AX5" s="360" t="s">
        <v>1525</v>
      </c>
      <c r="AY5" s="35" t="s">
        <v>23</v>
      </c>
      <c r="AZ5" s="35" t="s">
        <v>24</v>
      </c>
      <c r="BA5" s="35" t="s">
        <v>25</v>
      </c>
      <c r="BB5" s="35" t="s">
        <v>26</v>
      </c>
      <c r="BC5" s="35" t="s">
        <v>27</v>
      </c>
      <c r="BD5" s="36" t="s">
        <v>23</v>
      </c>
      <c r="BE5" s="36" t="s">
        <v>24</v>
      </c>
      <c r="BF5" s="36" t="s">
        <v>25</v>
      </c>
      <c r="BG5" s="36" t="s">
        <v>26</v>
      </c>
      <c r="BH5" s="36" t="s">
        <v>27</v>
      </c>
      <c r="BI5" s="37" t="s">
        <v>45</v>
      </c>
      <c r="BJ5" s="38" t="s">
        <v>29</v>
      </c>
      <c r="BK5" s="38" t="s">
        <v>30</v>
      </c>
      <c r="BL5" s="38" t="s">
        <v>31</v>
      </c>
      <c r="BM5" s="38" t="s">
        <v>32</v>
      </c>
      <c r="BN5" s="38" t="s">
        <v>33</v>
      </c>
      <c r="BO5" s="38" t="s">
        <v>35</v>
      </c>
      <c r="BP5" s="38" t="s">
        <v>44</v>
      </c>
      <c r="BQ5" s="38" t="s">
        <v>41</v>
      </c>
      <c r="BR5" s="38" t="s">
        <v>42</v>
      </c>
      <c r="BS5" s="38" t="s">
        <v>43</v>
      </c>
    </row>
    <row r="6" spans="1:75" s="4" customFormat="1">
      <c r="A6" s="361"/>
      <c r="B6" s="376">
        <v>1152</v>
      </c>
      <c r="C6" s="376" t="s">
        <v>541</v>
      </c>
      <c r="D6" s="258" t="s">
        <v>1573</v>
      </c>
      <c r="E6" s="187" t="s">
        <v>1574</v>
      </c>
      <c r="F6" s="257"/>
      <c r="G6" s="257"/>
      <c r="H6" s="257"/>
      <c r="I6" s="257"/>
      <c r="J6" s="182"/>
      <c r="K6" s="184"/>
      <c r="L6" s="344"/>
      <c r="M6" s="344"/>
      <c r="N6" s="344"/>
      <c r="O6" s="344"/>
      <c r="P6" s="344"/>
      <c r="Q6" s="344"/>
      <c r="R6" s="344"/>
      <c r="S6" s="344"/>
      <c r="T6" s="182" t="s">
        <v>1572</v>
      </c>
      <c r="U6" s="342"/>
      <c r="V6" s="182"/>
      <c r="W6" s="342"/>
      <c r="X6" s="182"/>
      <c r="Y6" s="342"/>
      <c r="Z6" s="182"/>
      <c r="AA6" s="182"/>
      <c r="AB6" s="257"/>
      <c r="AC6" s="257"/>
      <c r="AD6" s="257"/>
      <c r="AE6" s="257"/>
      <c r="AF6" s="257"/>
      <c r="AG6" s="257"/>
      <c r="AH6" s="257"/>
      <c r="AI6" s="176"/>
      <c r="AJ6" s="257"/>
      <c r="AK6" s="257"/>
      <c r="AL6" s="257"/>
      <c r="AM6" s="257"/>
      <c r="AN6" s="182"/>
      <c r="AO6" s="258">
        <v>3.58</v>
      </c>
      <c r="AP6" s="175">
        <f>AO6/0.444</f>
        <v>8.0630630630630638</v>
      </c>
      <c r="AQ6" s="188" t="s">
        <v>1569</v>
      </c>
      <c r="AR6" s="188" t="s">
        <v>1570</v>
      </c>
      <c r="AS6" s="372"/>
      <c r="AT6" s="372"/>
      <c r="AU6" s="372"/>
      <c r="AV6" s="373">
        <v>5.75</v>
      </c>
      <c r="AW6" s="374">
        <v>0.14099999999999999</v>
      </c>
      <c r="AX6" s="373">
        <v>5.468</v>
      </c>
      <c r="AY6" s="395" t="s">
        <v>1571</v>
      </c>
      <c r="AZ6" s="396"/>
      <c r="BA6" s="396"/>
      <c r="BB6" s="396"/>
      <c r="BC6" s="397"/>
      <c r="BD6" s="375">
        <v>9</v>
      </c>
      <c r="BE6" s="375">
        <v>9</v>
      </c>
      <c r="BF6" s="375">
        <v>4.5</v>
      </c>
      <c r="BG6" s="374">
        <f t="shared" ref="BG6" si="0">(BF6*BE6*BD6)/1728</f>
        <v>0.2109375</v>
      </c>
      <c r="BH6" s="375">
        <v>0.5</v>
      </c>
      <c r="BI6" s="264" t="s">
        <v>68</v>
      </c>
      <c r="BJ6" s="194">
        <v>6</v>
      </c>
      <c r="BK6" s="194">
        <v>10</v>
      </c>
      <c r="BL6" s="194">
        <v>10</v>
      </c>
      <c r="BM6" s="194">
        <f t="shared" ref="BM6" si="1">BJ6*BK6*BL6</f>
        <v>600</v>
      </c>
      <c r="BN6" s="194">
        <f t="shared" ref="BN6" si="2">(BH6*BK6*BL6)+50</f>
        <v>100</v>
      </c>
      <c r="BO6" s="265" t="s">
        <v>65</v>
      </c>
      <c r="BP6" s="194" t="s">
        <v>107</v>
      </c>
      <c r="BQ6" s="367"/>
      <c r="BR6" s="367"/>
      <c r="BS6" s="367"/>
    </row>
    <row r="7" spans="1:75" s="4" customFormat="1" ht="30">
      <c r="A7" s="361"/>
      <c r="B7" s="376" t="s">
        <v>1528</v>
      </c>
      <c r="C7" s="376" t="s">
        <v>541</v>
      </c>
      <c r="D7" s="376" t="s">
        <v>1617</v>
      </c>
      <c r="E7" s="179" t="s">
        <v>1539</v>
      </c>
      <c r="F7" s="257" t="s">
        <v>1068</v>
      </c>
      <c r="G7" s="257" t="s">
        <v>1537</v>
      </c>
      <c r="H7" s="257" t="s">
        <v>1068</v>
      </c>
      <c r="I7" s="257" t="s">
        <v>1538</v>
      </c>
      <c r="J7" s="182"/>
      <c r="K7" s="184"/>
      <c r="L7" s="344"/>
      <c r="M7" s="344"/>
      <c r="N7" s="344"/>
      <c r="O7" s="344"/>
      <c r="P7" s="344"/>
      <c r="Q7" s="344"/>
      <c r="R7" s="344"/>
      <c r="S7" s="344"/>
      <c r="T7" s="182" t="s">
        <v>1559</v>
      </c>
      <c r="U7" s="342"/>
      <c r="V7" s="182"/>
      <c r="W7" s="342"/>
      <c r="X7" s="182" t="s">
        <v>1560</v>
      </c>
      <c r="Y7" s="342"/>
      <c r="Z7" s="182" t="s">
        <v>1561</v>
      </c>
      <c r="AA7" s="182" t="s">
        <v>1562</v>
      </c>
      <c r="AB7" s="257"/>
      <c r="AC7" s="257"/>
      <c r="AD7" s="257"/>
      <c r="AE7" s="257"/>
      <c r="AF7" s="257"/>
      <c r="AG7" s="257"/>
      <c r="AH7" s="257"/>
      <c r="AI7" s="176"/>
      <c r="AJ7" s="257"/>
      <c r="AK7" s="257"/>
      <c r="AL7" s="257"/>
      <c r="AM7" s="257"/>
      <c r="AN7" s="182" t="s">
        <v>1563</v>
      </c>
      <c r="AO7" s="258">
        <v>53.25</v>
      </c>
      <c r="AP7" s="175">
        <f t="shared" ref="AP7:AP11" si="3">AO7/0.444</f>
        <v>119.93243243243244</v>
      </c>
      <c r="AQ7" s="188" t="s">
        <v>1530</v>
      </c>
      <c r="AR7" s="188" t="s">
        <v>1531</v>
      </c>
      <c r="AS7" s="372"/>
      <c r="AT7" s="372"/>
      <c r="AU7" s="372"/>
      <c r="AV7" s="373">
        <v>9.25</v>
      </c>
      <c r="AW7" s="373">
        <v>11.08</v>
      </c>
      <c r="AX7" s="372"/>
      <c r="AY7" s="388" t="s">
        <v>662</v>
      </c>
      <c r="AZ7" s="388"/>
      <c r="BA7" s="388"/>
      <c r="BB7" s="388"/>
      <c r="BC7" s="388"/>
      <c r="BD7" s="375">
        <v>11.4</v>
      </c>
      <c r="BE7" s="375">
        <v>10.37</v>
      </c>
      <c r="BF7" s="375">
        <v>10.62</v>
      </c>
      <c r="BG7" s="374">
        <f t="shared" ref="BG7" si="4">(BF7*BE7*BD7)/1728</f>
        <v>0.72654812499999999</v>
      </c>
      <c r="BH7" s="375">
        <f>3.94+0.25</f>
        <v>4.1899999999999995</v>
      </c>
      <c r="BI7" s="264" t="s">
        <v>68</v>
      </c>
      <c r="BJ7" s="194">
        <v>1</v>
      </c>
      <c r="BK7" s="194">
        <v>12</v>
      </c>
      <c r="BL7" s="194">
        <v>3</v>
      </c>
      <c r="BM7" s="194">
        <f t="shared" ref="BM7" si="5">BJ7*BK7*BL7</f>
        <v>36</v>
      </c>
      <c r="BN7" s="194">
        <f t="shared" ref="BN7" si="6">(BH7*BK7*BL7)+50</f>
        <v>200.83999999999997</v>
      </c>
      <c r="BO7" s="194" t="s">
        <v>65</v>
      </c>
      <c r="BP7" s="194" t="s">
        <v>107</v>
      </c>
      <c r="BQ7" s="367"/>
      <c r="BR7" s="367"/>
      <c r="BS7" s="367"/>
    </row>
    <row r="8" spans="1:75" s="4" customFormat="1" ht="30">
      <c r="A8" s="361"/>
      <c r="B8" s="376" t="s">
        <v>1527</v>
      </c>
      <c r="C8" s="376" t="s">
        <v>541</v>
      </c>
      <c r="D8" s="376" t="s">
        <v>1617</v>
      </c>
      <c r="E8" s="179" t="s">
        <v>1540</v>
      </c>
      <c r="F8" s="257" t="s">
        <v>244</v>
      </c>
      <c r="G8" s="257">
        <v>6001856110</v>
      </c>
      <c r="H8" s="257"/>
      <c r="I8" s="257"/>
      <c r="J8" s="182"/>
      <c r="K8" s="184"/>
      <c r="L8" s="344"/>
      <c r="M8" s="344"/>
      <c r="N8" s="344"/>
      <c r="O8" s="344"/>
      <c r="P8" s="344"/>
      <c r="Q8" s="344"/>
      <c r="R8" s="344"/>
      <c r="S8" s="344"/>
      <c r="T8" s="182" t="s">
        <v>1550</v>
      </c>
      <c r="U8" s="342"/>
      <c r="V8" s="182"/>
      <c r="W8" s="342"/>
      <c r="X8" s="182" t="s">
        <v>1551</v>
      </c>
      <c r="Y8" s="342"/>
      <c r="Z8" s="182" t="s">
        <v>1552</v>
      </c>
      <c r="AA8" s="182" t="s">
        <v>1554</v>
      </c>
      <c r="AB8" s="257"/>
      <c r="AC8" s="257"/>
      <c r="AD8" s="257"/>
      <c r="AE8" s="257"/>
      <c r="AF8" s="257"/>
      <c r="AG8" s="257"/>
      <c r="AH8" s="257"/>
      <c r="AI8" s="176"/>
      <c r="AJ8" s="257"/>
      <c r="AK8" s="257"/>
      <c r="AL8" s="257"/>
      <c r="AM8" s="257"/>
      <c r="AN8" s="182" t="s">
        <v>1553</v>
      </c>
      <c r="AO8" s="258">
        <v>105.79</v>
      </c>
      <c r="AP8" s="175">
        <f t="shared" si="3"/>
        <v>238.26576576576576</v>
      </c>
      <c r="AQ8" s="188" t="s">
        <v>1530</v>
      </c>
      <c r="AR8" s="188" t="s">
        <v>1531</v>
      </c>
      <c r="AS8" s="372"/>
      <c r="AT8" s="372"/>
      <c r="AU8" s="372"/>
      <c r="AV8" s="373">
        <v>12.31</v>
      </c>
      <c r="AW8" s="373">
        <v>20.03</v>
      </c>
      <c r="AX8" s="372"/>
      <c r="AY8" s="388" t="s">
        <v>662</v>
      </c>
      <c r="AZ8" s="388"/>
      <c r="BA8" s="388"/>
      <c r="BB8" s="388"/>
      <c r="BC8" s="388"/>
      <c r="BD8" s="375">
        <v>21.306000000000001</v>
      </c>
      <c r="BE8" s="375">
        <v>13.366</v>
      </c>
      <c r="BF8" s="375">
        <v>13.672000000000001</v>
      </c>
      <c r="BG8" s="374">
        <f t="shared" ref="BG8:BG11" si="7">(BF8*BE8*BD8)/1728</f>
        <v>2.2531582276111113</v>
      </c>
      <c r="BH8" s="375">
        <v>8.85</v>
      </c>
      <c r="BI8" s="264" t="s">
        <v>68</v>
      </c>
      <c r="BJ8" s="194">
        <v>1</v>
      </c>
      <c r="BK8" s="194">
        <v>9</v>
      </c>
      <c r="BL8" s="194">
        <v>2</v>
      </c>
      <c r="BM8" s="194">
        <f t="shared" ref="BM8:BM11" si="8">BJ8*BK8*BL8</f>
        <v>18</v>
      </c>
      <c r="BN8" s="194">
        <f t="shared" ref="BN8:BN11" si="9">(BH8*BK8*BL8)+50</f>
        <v>209.29999999999998</v>
      </c>
      <c r="BO8" s="194" t="s">
        <v>65</v>
      </c>
      <c r="BP8" s="194" t="s">
        <v>107</v>
      </c>
      <c r="BQ8" s="367"/>
      <c r="BR8" s="367"/>
      <c r="BS8" s="367"/>
    </row>
    <row r="9" spans="1:75" s="4" customFormat="1" ht="30">
      <c r="A9" s="361"/>
      <c r="B9" s="257" t="s">
        <v>1526</v>
      </c>
      <c r="C9" s="215" t="s">
        <v>541</v>
      </c>
      <c r="D9" s="376" t="s">
        <v>1529</v>
      </c>
      <c r="E9" s="246" t="s">
        <v>1542</v>
      </c>
      <c r="F9" s="257" t="s">
        <v>456</v>
      </c>
      <c r="G9" s="257" t="s">
        <v>1541</v>
      </c>
      <c r="H9" s="257"/>
      <c r="I9" s="257"/>
      <c r="J9" s="182"/>
      <c r="K9" s="184"/>
      <c r="L9" s="344"/>
      <c r="M9" s="344"/>
      <c r="N9" s="344"/>
      <c r="O9" s="344"/>
      <c r="P9" s="344"/>
      <c r="Q9" s="344"/>
      <c r="R9" s="344"/>
      <c r="S9" s="344"/>
      <c r="T9" s="182" t="s">
        <v>1555</v>
      </c>
      <c r="U9" s="342"/>
      <c r="V9" s="182"/>
      <c r="W9" s="342"/>
      <c r="X9" s="182" t="s">
        <v>1557</v>
      </c>
      <c r="Y9" s="342"/>
      <c r="Z9" s="182" t="s">
        <v>1556</v>
      </c>
      <c r="AA9" s="177"/>
      <c r="AB9" s="257"/>
      <c r="AC9" s="257"/>
      <c r="AD9" s="257"/>
      <c r="AE9" s="257"/>
      <c r="AF9" s="257"/>
      <c r="AG9" s="257"/>
      <c r="AH9" s="257"/>
      <c r="AI9" s="176"/>
      <c r="AJ9" s="257"/>
      <c r="AK9" s="257"/>
      <c r="AL9" s="257"/>
      <c r="AM9" s="257"/>
      <c r="AN9" s="182" t="s">
        <v>1558</v>
      </c>
      <c r="AO9" s="258">
        <v>54.11</v>
      </c>
      <c r="AP9" s="175">
        <f t="shared" si="3"/>
        <v>121.86936936936937</v>
      </c>
      <c r="AQ9" s="188" t="s">
        <v>1532</v>
      </c>
      <c r="AR9" s="188" t="s">
        <v>1533</v>
      </c>
      <c r="AS9" s="372"/>
      <c r="AT9" s="372"/>
      <c r="AU9" s="372"/>
      <c r="AV9" s="373">
        <v>9.35</v>
      </c>
      <c r="AW9" s="373">
        <v>2.25</v>
      </c>
      <c r="AX9" s="372"/>
      <c r="AY9" s="388" t="s">
        <v>662</v>
      </c>
      <c r="AZ9" s="388"/>
      <c r="BA9" s="388"/>
      <c r="BB9" s="388"/>
      <c r="BC9" s="388"/>
      <c r="BD9" s="375">
        <v>2.625</v>
      </c>
      <c r="BE9" s="375">
        <v>2.625</v>
      </c>
      <c r="BF9" s="375">
        <v>10.875</v>
      </c>
      <c r="BG9" s="374">
        <f t="shared" si="7"/>
        <v>4.3365478515625E-2</v>
      </c>
      <c r="BH9" s="375">
        <f>0.3+0.25</f>
        <v>0.55000000000000004</v>
      </c>
      <c r="BI9" s="264" t="s">
        <v>68</v>
      </c>
      <c r="BJ9" s="194">
        <v>1</v>
      </c>
      <c r="BK9" s="194">
        <v>40</v>
      </c>
      <c r="BL9" s="194">
        <v>18</v>
      </c>
      <c r="BM9" s="194">
        <f t="shared" si="8"/>
        <v>720</v>
      </c>
      <c r="BN9" s="194">
        <f t="shared" si="9"/>
        <v>446</v>
      </c>
      <c r="BO9" s="194" t="s">
        <v>377</v>
      </c>
      <c r="BP9" s="194" t="s">
        <v>107</v>
      </c>
      <c r="BQ9" s="350"/>
      <c r="BR9" s="368"/>
      <c r="BS9" s="368"/>
      <c r="BT9" s="368"/>
      <c r="BU9" s="368"/>
      <c r="BV9" s="368"/>
      <c r="BW9" s="368"/>
    </row>
    <row r="10" spans="1:75" s="4" customFormat="1" ht="30">
      <c r="A10" s="361"/>
      <c r="B10" s="377" t="s">
        <v>1534</v>
      </c>
      <c r="C10" s="215" t="s">
        <v>541</v>
      </c>
      <c r="D10" s="376" t="s">
        <v>63</v>
      </c>
      <c r="E10" s="246" t="s">
        <v>1536</v>
      </c>
      <c r="F10" s="257" t="s">
        <v>94</v>
      </c>
      <c r="G10" s="257" t="s">
        <v>1543</v>
      </c>
      <c r="H10" s="257"/>
      <c r="I10" s="257"/>
      <c r="J10" s="182"/>
      <c r="K10" s="184"/>
      <c r="L10" s="344"/>
      <c r="M10" s="344"/>
      <c r="N10" s="344"/>
      <c r="O10" s="344"/>
      <c r="P10" s="344"/>
      <c r="Q10" s="344"/>
      <c r="R10" s="344"/>
      <c r="S10" s="344"/>
      <c r="T10" s="182" t="s">
        <v>1564</v>
      </c>
      <c r="U10" s="342"/>
      <c r="V10" s="182"/>
      <c r="W10" s="342"/>
      <c r="X10" s="182" t="s">
        <v>1565</v>
      </c>
      <c r="Y10" s="342"/>
      <c r="Z10" s="182"/>
      <c r="AA10" s="177"/>
      <c r="AB10" s="257"/>
      <c r="AC10" s="257"/>
      <c r="AD10" s="257"/>
      <c r="AE10" s="257"/>
      <c r="AF10" s="257"/>
      <c r="AG10" s="257"/>
      <c r="AH10" s="257"/>
      <c r="AI10" s="176"/>
      <c r="AJ10" s="257"/>
      <c r="AK10" s="257"/>
      <c r="AL10" s="257"/>
      <c r="AM10" s="257"/>
      <c r="AN10" s="182" t="s">
        <v>1566</v>
      </c>
      <c r="AO10" s="258">
        <v>161.66</v>
      </c>
      <c r="AP10" s="175">
        <f t="shared" si="3"/>
        <v>364.09909909909908</v>
      </c>
      <c r="AQ10" s="188" t="s">
        <v>1546</v>
      </c>
      <c r="AR10" s="188" t="s">
        <v>1547</v>
      </c>
      <c r="AS10" s="372"/>
      <c r="AT10" s="372"/>
      <c r="AU10" s="372"/>
      <c r="AV10" s="373">
        <v>11.7</v>
      </c>
      <c r="AW10" s="373">
        <v>24.61</v>
      </c>
      <c r="AX10" s="372"/>
      <c r="AY10" s="388" t="s">
        <v>662</v>
      </c>
      <c r="AZ10" s="388"/>
      <c r="BA10" s="388"/>
      <c r="BB10" s="388"/>
      <c r="BC10" s="388"/>
      <c r="BD10" s="375">
        <v>13.180999999999999</v>
      </c>
      <c r="BE10" s="375">
        <v>13.180999999999999</v>
      </c>
      <c r="BF10" s="375">
        <v>25.486999999999998</v>
      </c>
      <c r="BG10" s="374">
        <f t="shared" si="7"/>
        <v>2.5625461814855317</v>
      </c>
      <c r="BH10" s="375">
        <f>1.75+0.25</f>
        <v>2</v>
      </c>
      <c r="BI10" s="264" t="s">
        <v>68</v>
      </c>
      <c r="BJ10" s="194">
        <v>1</v>
      </c>
      <c r="BK10" s="194">
        <v>9</v>
      </c>
      <c r="BL10" s="194">
        <v>1</v>
      </c>
      <c r="BM10" s="194">
        <f t="shared" si="8"/>
        <v>9</v>
      </c>
      <c r="BN10" s="194">
        <f t="shared" si="9"/>
        <v>68</v>
      </c>
      <c r="BO10" s="194" t="s">
        <v>65</v>
      </c>
      <c r="BP10" s="194" t="s">
        <v>107</v>
      </c>
      <c r="BQ10" s="306"/>
      <c r="BR10" s="38"/>
      <c r="BS10" s="38"/>
      <c r="BT10" s="146"/>
      <c r="BU10" s="368"/>
      <c r="BV10" s="368"/>
      <c r="BW10" s="368"/>
    </row>
    <row r="11" spans="1:75" s="4" customFormat="1" ht="30">
      <c r="A11" s="361"/>
      <c r="B11" s="377" t="s">
        <v>1535</v>
      </c>
      <c r="C11" s="215" t="s">
        <v>541</v>
      </c>
      <c r="D11" s="376" t="s">
        <v>342</v>
      </c>
      <c r="E11" s="246" t="s">
        <v>1545</v>
      </c>
      <c r="F11" s="257" t="s">
        <v>306</v>
      </c>
      <c r="G11" s="257" t="s">
        <v>1544</v>
      </c>
      <c r="H11" s="257"/>
      <c r="I11" s="257"/>
      <c r="J11" s="182"/>
      <c r="K11" s="184"/>
      <c r="L11" s="344"/>
      <c r="M11" s="344"/>
      <c r="N11" s="344"/>
      <c r="O11" s="344"/>
      <c r="P11" s="344"/>
      <c r="Q11" s="344"/>
      <c r="R11" s="344"/>
      <c r="S11" s="344"/>
      <c r="T11" s="182" t="s">
        <v>1567</v>
      </c>
      <c r="U11" s="342"/>
      <c r="V11" s="182"/>
      <c r="W11" s="342"/>
      <c r="X11" s="182"/>
      <c r="Y11" s="342"/>
      <c r="Z11" s="182"/>
      <c r="AA11" s="177"/>
      <c r="AB11" s="257"/>
      <c r="AC11" s="257"/>
      <c r="AD11" s="257"/>
      <c r="AE11" s="257"/>
      <c r="AF11" s="257"/>
      <c r="AG11" s="257"/>
      <c r="AH11" s="257"/>
      <c r="AI11" s="176"/>
      <c r="AJ11" s="257"/>
      <c r="AK11" s="257"/>
      <c r="AL11" s="257"/>
      <c r="AM11" s="257"/>
      <c r="AN11" s="182" t="s">
        <v>1568</v>
      </c>
      <c r="AO11" s="258">
        <v>26.31</v>
      </c>
      <c r="AP11" s="175">
        <f t="shared" si="3"/>
        <v>59.256756756756751</v>
      </c>
      <c r="AQ11" s="188" t="s">
        <v>1548</v>
      </c>
      <c r="AR11" s="188" t="s">
        <v>1549</v>
      </c>
      <c r="AS11" s="372"/>
      <c r="AT11" s="372"/>
      <c r="AU11" s="372"/>
      <c r="AV11" s="373">
        <v>2.4700000000000002</v>
      </c>
      <c r="AW11" s="373">
        <v>5.03</v>
      </c>
      <c r="AX11" s="372"/>
      <c r="AY11" s="373">
        <v>3.4224999999999999</v>
      </c>
      <c r="AZ11" s="373">
        <v>3.4224999999999999</v>
      </c>
      <c r="BA11" s="373">
        <v>5.9074999999999998</v>
      </c>
      <c r="BB11" s="374">
        <f t="shared" ref="BB11" si="10">(BA11*AZ11*AY11)/1728</f>
        <v>4.0044871627242476E-2</v>
      </c>
      <c r="BC11" s="373">
        <v>0.95</v>
      </c>
      <c r="BD11" s="375">
        <v>13.055999999999999</v>
      </c>
      <c r="BE11" s="375">
        <v>9.9309999999999992</v>
      </c>
      <c r="BF11" s="375">
        <v>5.7995000000000001</v>
      </c>
      <c r="BG11" s="374">
        <f t="shared" si="7"/>
        <v>0.43516097177777774</v>
      </c>
      <c r="BH11" s="375">
        <f>BJ11*BC11+0.25</f>
        <v>11.649999999999999</v>
      </c>
      <c r="BI11" s="264" t="s">
        <v>68</v>
      </c>
      <c r="BJ11" s="194">
        <v>12</v>
      </c>
      <c r="BK11" s="194">
        <v>14</v>
      </c>
      <c r="BL11" s="194">
        <v>7</v>
      </c>
      <c r="BM11" s="194">
        <f t="shared" si="8"/>
        <v>1176</v>
      </c>
      <c r="BN11" s="194">
        <f t="shared" si="9"/>
        <v>1191.6999999999998</v>
      </c>
      <c r="BO11" s="194" t="s">
        <v>65</v>
      </c>
      <c r="BP11" s="194" t="s">
        <v>107</v>
      </c>
      <c r="BQ11" s="306"/>
      <c r="BR11" s="38"/>
      <c r="BS11" s="38"/>
      <c r="BT11" s="146"/>
      <c r="BU11" s="368"/>
      <c r="BV11" s="368"/>
      <c r="BW11" s="368"/>
    </row>
    <row r="12" spans="1:75" s="4" customFormat="1">
      <c r="A12" s="361"/>
      <c r="B12" s="176"/>
      <c r="C12" s="257"/>
      <c r="D12" s="362"/>
      <c r="E12" s="362"/>
      <c r="F12" s="257"/>
      <c r="G12" s="257"/>
      <c r="H12" s="167"/>
      <c r="I12" s="257"/>
      <c r="J12" s="182"/>
      <c r="K12" s="184"/>
      <c r="L12" s="344"/>
      <c r="M12" s="344"/>
      <c r="N12" s="344"/>
      <c r="O12" s="344"/>
      <c r="P12" s="344"/>
      <c r="Q12" s="344"/>
      <c r="R12" s="344"/>
      <c r="S12" s="344"/>
      <c r="T12" s="182"/>
      <c r="U12" s="342"/>
      <c r="V12" s="182"/>
      <c r="W12" s="342"/>
      <c r="X12" s="182"/>
      <c r="Y12" s="342"/>
      <c r="Z12" s="182"/>
      <c r="AA12" s="177"/>
      <c r="AB12" s="257"/>
      <c r="AC12" s="257"/>
      <c r="AD12" s="257"/>
      <c r="AE12" s="257"/>
      <c r="AF12" s="257"/>
      <c r="AG12" s="257"/>
      <c r="AH12" s="257"/>
      <c r="AI12" s="176"/>
      <c r="AJ12" s="257"/>
      <c r="AK12" s="257"/>
      <c r="AL12" s="257"/>
      <c r="AM12" s="257"/>
      <c r="AN12" s="257"/>
      <c r="AO12" s="258"/>
      <c r="AP12" s="175"/>
      <c r="AQ12" s="369"/>
      <c r="AR12" s="369"/>
      <c r="AS12" s="369"/>
      <c r="AT12" s="369"/>
      <c r="AU12" s="369"/>
      <c r="AV12" s="369"/>
      <c r="AW12" s="369"/>
      <c r="AX12" s="369"/>
      <c r="AY12" s="363"/>
      <c r="AZ12" s="363"/>
      <c r="BA12" s="363"/>
      <c r="BB12" s="364"/>
      <c r="BC12" s="363"/>
      <c r="BD12" s="363"/>
      <c r="BE12" s="363"/>
      <c r="BF12" s="363"/>
      <c r="BG12" s="364"/>
      <c r="BH12" s="363"/>
      <c r="BI12" s="365"/>
      <c r="BJ12" s="366"/>
      <c r="BK12" s="366"/>
      <c r="BL12" s="366"/>
      <c r="BM12" s="366"/>
      <c r="BN12" s="366"/>
      <c r="BO12" s="366"/>
      <c r="BP12" s="366"/>
      <c r="BQ12" s="367"/>
      <c r="BR12" s="367"/>
      <c r="BS12" s="367"/>
    </row>
    <row r="13" spans="1:75" s="146" customFormat="1">
      <c r="B13" s="142"/>
      <c r="C13" s="142"/>
      <c r="D13" s="142"/>
      <c r="E13" s="142"/>
      <c r="F13" s="142"/>
      <c r="G13" s="89"/>
      <c r="H13" s="11"/>
      <c r="I13" s="11"/>
      <c r="J13" s="11"/>
      <c r="T13" s="11"/>
      <c r="Z13" s="11"/>
      <c r="AA13" s="11"/>
      <c r="AO13" s="143"/>
      <c r="AP13" s="144"/>
      <c r="AQ13" s="11"/>
      <c r="AY13" s="86"/>
      <c r="AZ13" s="86"/>
      <c r="BA13" s="86"/>
      <c r="BB13" s="11"/>
      <c r="BC13" s="86"/>
      <c r="BD13" s="86"/>
      <c r="BE13" s="86"/>
      <c r="BF13" s="86"/>
      <c r="BG13" s="11"/>
      <c r="BH13" s="86"/>
      <c r="BI13" s="11"/>
      <c r="BJ13" s="11"/>
      <c r="BO13" s="11"/>
      <c r="BP13" s="89"/>
    </row>
    <row r="14" spans="1:75" ht="7.5" customHeight="1">
      <c r="B14" s="160"/>
      <c r="C14" s="160"/>
      <c r="D14" s="160"/>
      <c r="E14" s="160"/>
      <c r="F14" s="160"/>
      <c r="G14" s="160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1"/>
      <c r="U14" s="162"/>
      <c r="V14" s="162"/>
      <c r="W14" s="162"/>
      <c r="X14" s="162"/>
      <c r="Y14" s="162"/>
      <c r="Z14" s="161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3"/>
      <c r="AP14" s="164"/>
      <c r="AQ14" s="161"/>
      <c r="AR14" s="162"/>
      <c r="AS14" s="162"/>
      <c r="AT14" s="162"/>
      <c r="AU14" s="162"/>
      <c r="AV14" s="162"/>
      <c r="AW14" s="162"/>
      <c r="AX14" s="162"/>
      <c r="AY14" s="165"/>
      <c r="AZ14" s="165"/>
      <c r="BA14" s="165"/>
      <c r="BB14" s="161"/>
      <c r="BC14" s="165"/>
      <c r="BD14" s="165"/>
      <c r="BE14" s="165"/>
      <c r="BF14" s="165"/>
      <c r="BG14" s="161"/>
      <c r="BH14" s="165"/>
      <c r="BI14" s="161"/>
      <c r="BJ14" s="161"/>
      <c r="BK14" s="162"/>
      <c r="BL14" s="162"/>
      <c r="BM14" s="162"/>
      <c r="BN14" s="162"/>
      <c r="BO14" s="161"/>
      <c r="BP14" s="166"/>
      <c r="BQ14" s="162"/>
      <c r="BR14" s="146"/>
      <c r="BS14" s="146"/>
    </row>
    <row r="15" spans="1:75" ht="7.5" customHeight="1">
      <c r="B15" s="142"/>
      <c r="C15" s="142"/>
      <c r="D15" s="142"/>
      <c r="E15" s="142"/>
      <c r="F15" s="142"/>
      <c r="G15" s="142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U15" s="146"/>
      <c r="V15" s="146"/>
      <c r="W15" s="146"/>
      <c r="X15" s="146"/>
      <c r="Y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3"/>
      <c r="AP15" s="144"/>
      <c r="AR15" s="146"/>
      <c r="AS15" s="146"/>
      <c r="AT15" s="146"/>
      <c r="AU15" s="146"/>
      <c r="AV15" s="146"/>
      <c r="AW15" s="146"/>
      <c r="AX15" s="146"/>
      <c r="AY15" s="86"/>
      <c r="AZ15" s="86"/>
      <c r="BA15" s="86"/>
      <c r="BC15" s="86"/>
      <c r="BD15" s="86"/>
      <c r="BE15" s="86"/>
      <c r="BF15" s="86"/>
      <c r="BH15" s="86"/>
      <c r="BK15" s="146"/>
      <c r="BL15" s="146"/>
      <c r="BM15" s="146"/>
      <c r="BN15" s="146"/>
      <c r="BP15" s="89"/>
      <c r="BQ15" s="146"/>
      <c r="BR15" s="146"/>
      <c r="BS15" s="146"/>
    </row>
    <row r="16" spans="1:75" ht="23.25">
      <c r="B16" s="142"/>
      <c r="C16" s="142"/>
      <c r="D16" s="142"/>
      <c r="E16" s="159" t="s">
        <v>542</v>
      </c>
      <c r="G16" s="142"/>
      <c r="U16" s="146"/>
      <c r="V16" s="146"/>
      <c r="W16" s="146"/>
      <c r="Y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3"/>
      <c r="AP16" s="144"/>
      <c r="AR16" s="146"/>
      <c r="AS16" s="146"/>
      <c r="AT16" s="146"/>
      <c r="AU16" s="146"/>
      <c r="AV16" s="146"/>
      <c r="AW16" s="146"/>
      <c r="AX16" s="146"/>
      <c r="AY16" s="86"/>
      <c r="AZ16" s="86"/>
      <c r="BA16" s="86"/>
      <c r="BC16" s="86"/>
      <c r="BD16" s="86"/>
      <c r="BE16" s="86"/>
      <c r="BF16" s="86"/>
      <c r="BH16" s="86"/>
      <c r="BK16" s="146"/>
      <c r="BL16" s="146"/>
      <c r="BM16" s="146"/>
      <c r="BN16" s="146"/>
      <c r="BP16" s="89"/>
      <c r="BQ16" s="146"/>
      <c r="BR16" s="146"/>
      <c r="BS16" s="146"/>
    </row>
    <row r="17" spans="2:71" s="146" customFormat="1">
      <c r="B17" s="142"/>
      <c r="C17" s="142"/>
      <c r="D17" s="142"/>
      <c r="E17" s="142"/>
      <c r="F17" s="142"/>
      <c r="G17" s="14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43"/>
      <c r="AP17" s="144"/>
      <c r="AQ17" s="11"/>
      <c r="AR17" s="11"/>
      <c r="AS17" s="11"/>
      <c r="AT17" s="11"/>
      <c r="AU17" s="11"/>
      <c r="AV17" s="11"/>
      <c r="AW17" s="11"/>
      <c r="AX17" s="11"/>
      <c r="AY17" s="86"/>
      <c r="AZ17" s="86"/>
      <c r="BA17" s="86"/>
      <c r="BB17" s="11"/>
      <c r="BC17" s="86"/>
      <c r="BD17" s="86"/>
      <c r="BE17" s="86"/>
      <c r="BF17" s="86"/>
      <c r="BG17" s="11"/>
      <c r="BH17" s="86"/>
      <c r="BI17" s="11"/>
      <c r="BJ17" s="11"/>
      <c r="BK17" s="11"/>
      <c r="BL17" s="11"/>
      <c r="BO17" s="11"/>
      <c r="BP17" s="89"/>
      <c r="BQ17" s="11"/>
      <c r="BR17" s="11"/>
      <c r="BS17" s="11"/>
    </row>
    <row r="18" spans="2:71">
      <c r="B18" s="142"/>
      <c r="C18" s="142"/>
      <c r="D18" s="142"/>
      <c r="E18" s="30" t="s">
        <v>543</v>
      </c>
      <c r="F18" s="32" t="s">
        <v>1306</v>
      </c>
      <c r="G18" s="32" t="s">
        <v>544</v>
      </c>
      <c r="AO18" s="143"/>
      <c r="AP18" s="144"/>
      <c r="AY18" s="86"/>
      <c r="AZ18" s="86"/>
      <c r="BA18" s="86"/>
      <c r="BC18" s="86"/>
      <c r="BD18" s="86"/>
      <c r="BE18" s="86"/>
      <c r="BF18" s="86"/>
      <c r="BH18" s="86"/>
      <c r="BM18" s="146"/>
      <c r="BN18" s="146"/>
      <c r="BP18" s="89"/>
    </row>
    <row r="19" spans="2:71">
      <c r="B19" s="151"/>
      <c r="C19" s="151"/>
      <c r="D19" s="207"/>
      <c r="E19" s="269"/>
      <c r="F19" s="258"/>
      <c r="G19" s="258"/>
      <c r="AO19" s="143"/>
      <c r="AP19" s="144"/>
      <c r="AY19" s="86"/>
      <c r="AZ19" s="86"/>
      <c r="BA19" s="86"/>
      <c r="BC19" s="86"/>
      <c r="BD19" s="86"/>
      <c r="BE19" s="86"/>
      <c r="BF19" s="86"/>
      <c r="BH19" s="86"/>
      <c r="BM19" s="146"/>
      <c r="BN19" s="146"/>
      <c r="BP19" s="89"/>
    </row>
    <row r="20" spans="2:71">
      <c r="B20" s="151"/>
      <c r="C20" s="151"/>
      <c r="D20" s="207"/>
      <c r="E20" s="269"/>
      <c r="F20" s="258"/>
      <c r="G20" s="258"/>
      <c r="AO20" s="143"/>
      <c r="AP20" s="144"/>
      <c r="AY20" s="86"/>
      <c r="AZ20" s="86"/>
      <c r="BA20" s="86"/>
      <c r="BC20" s="86"/>
      <c r="BD20" s="86"/>
      <c r="BE20" s="86"/>
      <c r="BF20" s="86"/>
      <c r="BH20" s="86"/>
      <c r="BM20" s="146"/>
      <c r="BN20" s="146"/>
      <c r="BP20" s="89"/>
    </row>
    <row r="21" spans="2:71">
      <c r="B21" s="151"/>
      <c r="C21" s="151"/>
      <c r="D21" s="151"/>
      <c r="E21" s="269"/>
      <c r="F21" s="258"/>
      <c r="G21" s="258"/>
      <c r="AO21" s="143"/>
      <c r="AP21" s="144"/>
      <c r="AY21" s="86"/>
      <c r="AZ21" s="86"/>
      <c r="BA21" s="86"/>
      <c r="BC21" s="86"/>
      <c r="BD21" s="86"/>
      <c r="BE21" s="86"/>
      <c r="BF21" s="86"/>
      <c r="BH21" s="86"/>
      <c r="BM21" s="146"/>
      <c r="BN21" s="146"/>
      <c r="BP21" s="89"/>
    </row>
    <row r="22" spans="2:71">
      <c r="B22" s="151"/>
      <c r="C22" s="151"/>
      <c r="D22" s="151"/>
      <c r="E22" s="269"/>
      <c r="F22" s="258"/>
      <c r="G22" s="258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U22" s="146"/>
      <c r="V22" s="146"/>
      <c r="W22" s="146"/>
      <c r="X22" s="146"/>
      <c r="Y22" s="146"/>
      <c r="AD22" s="146"/>
      <c r="AE22" s="146"/>
      <c r="AF22" s="146"/>
      <c r="AG22" s="146"/>
      <c r="AH22" s="146"/>
      <c r="AI22" s="146"/>
      <c r="AL22" s="146"/>
      <c r="AM22" s="146"/>
      <c r="AN22" s="146"/>
      <c r="AO22" s="143"/>
      <c r="AP22" s="144"/>
      <c r="AR22" s="146"/>
      <c r="AS22" s="146"/>
      <c r="AT22" s="146"/>
      <c r="AU22" s="146"/>
      <c r="AV22" s="146"/>
      <c r="AW22" s="146"/>
      <c r="AX22" s="146"/>
      <c r="AY22" s="86"/>
      <c r="AZ22" s="86"/>
      <c r="BA22" s="86"/>
      <c r="BC22" s="86"/>
      <c r="BD22" s="86"/>
      <c r="BE22" s="86"/>
      <c r="BF22" s="86"/>
      <c r="BH22" s="86"/>
      <c r="BK22" s="146"/>
      <c r="BL22" s="146"/>
      <c r="BM22" s="146"/>
      <c r="BN22" s="146"/>
      <c r="BP22" s="89"/>
      <c r="BQ22" s="146"/>
      <c r="BR22" s="146"/>
      <c r="BS22" s="146"/>
    </row>
    <row r="23" spans="2:71">
      <c r="B23" s="142"/>
      <c r="C23" s="142"/>
      <c r="D23" s="142"/>
      <c r="E23" s="142"/>
      <c r="F23" s="142"/>
      <c r="G23" s="142"/>
      <c r="AP23" s="144"/>
      <c r="AQ23" s="146"/>
      <c r="BN23" s="146"/>
      <c r="BP23" s="89"/>
    </row>
    <row r="24" spans="2:71" ht="7.5" customHeight="1">
      <c r="B24" s="160"/>
      <c r="C24" s="160"/>
      <c r="D24" s="160"/>
      <c r="E24" s="160"/>
      <c r="F24" s="160"/>
      <c r="G24" s="160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U24" s="146"/>
      <c r="V24" s="146"/>
      <c r="W24" s="146"/>
      <c r="X24" s="146"/>
      <c r="Y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3"/>
      <c r="AP24" s="144"/>
      <c r="AR24" s="146"/>
      <c r="AS24" s="146"/>
      <c r="AT24" s="146"/>
      <c r="AU24" s="146"/>
      <c r="AV24" s="146"/>
      <c r="AW24" s="146"/>
      <c r="AX24" s="146"/>
      <c r="AY24" s="86"/>
      <c r="AZ24" s="86"/>
      <c r="BA24" s="86"/>
      <c r="BC24" s="86"/>
      <c r="BD24" s="86"/>
      <c r="BE24" s="86"/>
      <c r="BF24" s="86"/>
      <c r="BH24" s="86"/>
      <c r="BK24" s="146"/>
      <c r="BL24" s="146"/>
      <c r="BM24" s="146"/>
      <c r="BN24" s="146"/>
      <c r="BP24" s="89"/>
      <c r="BQ24" s="146"/>
      <c r="BR24" s="146"/>
      <c r="BS24" s="146"/>
    </row>
    <row r="25" spans="2:71" ht="7.5" customHeight="1">
      <c r="B25" s="142"/>
      <c r="C25" s="142"/>
      <c r="D25" s="142"/>
      <c r="E25" s="142"/>
      <c r="F25" s="142"/>
      <c r="G25" s="142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U25" s="146"/>
      <c r="V25" s="146"/>
      <c r="W25" s="146"/>
      <c r="X25" s="146"/>
      <c r="Y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3"/>
      <c r="AP25" s="144"/>
      <c r="AR25" s="146"/>
      <c r="AS25" s="146"/>
      <c r="AT25" s="146"/>
      <c r="AU25" s="146"/>
      <c r="AV25" s="146"/>
      <c r="AW25" s="146"/>
      <c r="AX25" s="146"/>
      <c r="AY25" s="86"/>
      <c r="AZ25" s="86"/>
      <c r="BA25" s="86"/>
      <c r="BC25" s="86"/>
      <c r="BD25" s="86"/>
      <c r="BE25" s="86"/>
      <c r="BF25" s="86"/>
      <c r="BH25" s="86"/>
      <c r="BK25" s="146"/>
      <c r="BL25" s="146"/>
      <c r="BM25" s="146"/>
      <c r="BN25" s="146"/>
      <c r="BP25" s="89"/>
      <c r="BQ25" s="146"/>
      <c r="BR25" s="146"/>
      <c r="BS25" s="146"/>
    </row>
    <row r="26" spans="2:71" ht="23.25">
      <c r="B26" s="142"/>
      <c r="C26" s="142"/>
      <c r="D26" s="142"/>
      <c r="E26" s="173" t="s">
        <v>548</v>
      </c>
      <c r="G26" s="142"/>
      <c r="AP26" s="144"/>
      <c r="AQ26" s="146"/>
      <c r="BN26" s="146"/>
      <c r="BP26" s="89"/>
    </row>
    <row r="27" spans="2:71" ht="16.5" customHeight="1">
      <c r="B27" s="142"/>
      <c r="C27" s="142"/>
      <c r="D27" s="142"/>
      <c r="E27" s="142"/>
      <c r="F27" s="158"/>
      <c r="G27" s="142"/>
      <c r="AP27" s="144"/>
      <c r="AQ27" s="146"/>
      <c r="BN27" s="146"/>
      <c r="BP27" s="89"/>
    </row>
    <row r="28" spans="2:71" s="136" customFormat="1">
      <c r="B28" s="11"/>
      <c r="C28" s="11"/>
      <c r="D28" s="11"/>
      <c r="E28" s="30" t="s">
        <v>546</v>
      </c>
      <c r="F28" s="171" t="s">
        <v>547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43"/>
      <c r="AP28" s="144"/>
      <c r="AQ28" s="146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46"/>
      <c r="BO28" s="11"/>
      <c r="BP28" s="11"/>
      <c r="BQ28" s="11"/>
      <c r="BR28" s="11"/>
      <c r="BS28" s="11"/>
    </row>
    <row r="29" spans="2:71">
      <c r="B29" s="155"/>
      <c r="C29" s="152"/>
      <c r="D29" s="152"/>
      <c r="E29" s="167"/>
      <c r="F29" s="172"/>
      <c r="G29" s="170"/>
      <c r="AO29" s="143"/>
      <c r="AP29" s="144"/>
      <c r="AQ29" s="146"/>
      <c r="BN29" s="146"/>
    </row>
    <row r="30" spans="2:71">
      <c r="B30" s="168"/>
      <c r="C30" s="152"/>
      <c r="D30" s="152"/>
      <c r="E30" s="167"/>
      <c r="F30" s="169"/>
      <c r="G30" s="170"/>
      <c r="AO30" s="143"/>
      <c r="AP30" s="144"/>
      <c r="AQ30" s="146"/>
      <c r="BN30" s="146"/>
    </row>
    <row r="31" spans="2:71">
      <c r="B31" s="168"/>
      <c r="C31" s="152"/>
      <c r="D31" s="152"/>
      <c r="E31" s="167"/>
      <c r="F31" s="169"/>
      <c r="G31" s="170"/>
      <c r="U31" s="146"/>
      <c r="V31" s="146"/>
      <c r="W31" s="146"/>
      <c r="Y31" s="146"/>
      <c r="AA31" s="146"/>
      <c r="AB31" s="146"/>
      <c r="AD31" s="146"/>
      <c r="AE31" s="146"/>
      <c r="AG31" s="146"/>
      <c r="AH31" s="146"/>
      <c r="AI31" s="146"/>
      <c r="AJ31" s="146"/>
      <c r="AK31" s="146"/>
      <c r="AL31" s="146"/>
      <c r="AM31" s="146"/>
      <c r="AN31" s="146"/>
      <c r="AO31" s="143"/>
      <c r="AP31" s="144"/>
      <c r="AQ31" s="146"/>
      <c r="AR31" s="146"/>
      <c r="AS31" s="146"/>
      <c r="AT31" s="146"/>
      <c r="AU31" s="146"/>
      <c r="AV31" s="146"/>
      <c r="AW31" s="146"/>
      <c r="AX31" s="146"/>
      <c r="AZ31" s="146"/>
      <c r="BA31" s="146"/>
      <c r="BB31" s="146"/>
      <c r="BC31" s="146"/>
      <c r="BD31" s="146"/>
      <c r="BE31" s="146"/>
      <c r="BF31" s="146"/>
      <c r="BG31" s="146"/>
      <c r="BH31" s="146"/>
      <c r="BJ31" s="146"/>
      <c r="BK31" s="146"/>
      <c r="BL31" s="146"/>
      <c r="BM31" s="146"/>
      <c r="BN31" s="146"/>
      <c r="BO31" s="146"/>
      <c r="BP31" s="89"/>
      <c r="BQ31" s="146"/>
      <c r="BR31" s="146"/>
      <c r="BS31" s="146"/>
    </row>
    <row r="32" spans="2:71" s="136" customFormat="1">
      <c r="B32" s="155"/>
      <c r="C32" s="152"/>
      <c r="D32" s="152"/>
      <c r="E32" s="167"/>
      <c r="F32" s="172"/>
      <c r="G32" s="17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2:71" s="136" customFormat="1">
      <c r="B33" s="155"/>
      <c r="C33" s="151"/>
      <c r="D33" s="152"/>
      <c r="E33" s="167"/>
      <c r="F33" s="172"/>
      <c r="G33" s="17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2:71" s="136" customFormat="1">
      <c r="B34" s="155"/>
      <c r="C34" s="152"/>
      <c r="D34" s="152"/>
      <c r="E34" s="167"/>
      <c r="F34" s="172"/>
      <c r="G34" s="17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2:71" s="136" customFormat="1">
      <c r="B35" s="155"/>
      <c r="C35" s="152"/>
      <c r="D35" s="152"/>
      <c r="E35" s="167"/>
      <c r="F35" s="172"/>
      <c r="G35" s="17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2:71" s="136" customFormat="1">
      <c r="B36" s="168"/>
      <c r="C36" s="152"/>
      <c r="D36" s="152"/>
      <c r="E36" s="167"/>
      <c r="F36" s="169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2:71" s="136" customFormat="1">
      <c r="B37" s="168"/>
      <c r="C37" s="152"/>
      <c r="D37" s="152"/>
      <c r="E37" s="167"/>
      <c r="F37" s="169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2:71" s="136" customFormat="1">
      <c r="B38" s="168"/>
      <c r="C38" s="152"/>
      <c r="D38" s="152"/>
      <c r="E38" s="167"/>
      <c r="F38" s="169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2:71" s="136" customFormat="1">
      <c r="B39" s="168"/>
      <c r="C39" s="152"/>
      <c r="D39" s="152"/>
      <c r="E39" s="167"/>
      <c r="F39" s="169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2:71" s="136" customFormat="1">
      <c r="B40" s="155"/>
      <c r="C40" s="152"/>
      <c r="D40" s="152"/>
      <c r="E40" s="167"/>
      <c r="F40" s="172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2:71" s="136" customFormat="1">
      <c r="B41" s="155"/>
      <c r="C41" s="152"/>
      <c r="D41" s="152"/>
      <c r="E41" s="167"/>
      <c r="F41" s="172"/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2:71" s="136" customFormat="1">
      <c r="B42" s="155"/>
      <c r="C42" s="152"/>
      <c r="D42" s="152"/>
      <c r="E42" s="167"/>
      <c r="F42" s="172"/>
      <c r="G42" s="17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2:71" s="136" customFormat="1">
      <c r="B43" s="155"/>
      <c r="C43" s="152"/>
      <c r="D43" s="152"/>
      <c r="E43" s="167"/>
      <c r="F43" s="172"/>
      <c r="G43" s="17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2:71" s="136" customFormat="1">
      <c r="B44" s="168"/>
      <c r="C44" s="152"/>
      <c r="D44" s="152"/>
      <c r="E44" s="167"/>
      <c r="F44" s="169"/>
      <c r="G44" s="17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2:71" s="136" customFormat="1">
      <c r="B45" s="168"/>
      <c r="C45" s="152"/>
      <c r="D45" s="152"/>
      <c r="E45" s="167"/>
      <c r="F45" s="169"/>
      <c r="G45" s="17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2:71" s="136" customFormat="1">
      <c r="B46" s="155"/>
      <c r="C46" s="151"/>
      <c r="D46" s="152"/>
      <c r="E46" s="167"/>
      <c r="F46" s="172"/>
      <c r="G46" s="17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2:71" s="136" customFormat="1">
      <c r="B47" s="155"/>
      <c r="C47" s="151"/>
      <c r="D47" s="152"/>
      <c r="E47" s="167"/>
      <c r="F47" s="172"/>
      <c r="G47" s="17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2:71" s="136" customFormat="1">
      <c r="B48" s="146"/>
      <c r="C48" s="146"/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2:71" s="136" customFormat="1">
      <c r="B49" s="146"/>
      <c r="C49" s="146"/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2:71" s="136" customFormat="1">
      <c r="B50" s="146"/>
      <c r="C50" s="146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2:71" s="136" customFormat="1">
      <c r="B51" s="146"/>
      <c r="C51" s="146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2:71" s="136" customFormat="1">
      <c r="B52" s="146"/>
      <c r="C52" s="146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2:71" s="136" customFormat="1">
      <c r="B53" s="146"/>
      <c r="C53" s="146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2:71" s="136" customFormat="1">
      <c r="B54" s="146"/>
      <c r="C54" s="146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2:71" s="136" customFormat="1">
      <c r="B55" s="146"/>
      <c r="C55" s="146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</row>
    <row r="56" spans="2:71" s="136" customFormat="1">
      <c r="B56" s="146"/>
      <c r="C56" s="146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2:71" s="136" customFormat="1">
      <c r="B57" s="146"/>
      <c r="C57" s="146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2:71" s="136" customFormat="1">
      <c r="B58" s="146"/>
      <c r="C58" s="146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2:71" s="136" customFormat="1">
      <c r="B59" s="146"/>
      <c r="C59" s="146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2:71" s="136" customFormat="1">
      <c r="B60" s="146"/>
      <c r="C60" s="146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2:71" s="136" customFormat="1">
      <c r="B61" s="146"/>
      <c r="C61" s="146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2:71" s="136" customFormat="1">
      <c r="B62" s="146"/>
      <c r="C62" s="146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2:71" s="136" customFormat="1">
      <c r="B63" s="146"/>
      <c r="C63" s="146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2:71" s="136" customFormat="1">
      <c r="B64" s="146"/>
      <c r="C64" s="146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2:71" s="136" customFormat="1">
      <c r="B65" s="146"/>
      <c r="C65" s="146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</row>
    <row r="66" spans="2:71" s="136" customFormat="1">
      <c r="B66" s="146"/>
      <c r="C66" s="146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</row>
    <row r="67" spans="2:71" s="136" customFormat="1">
      <c r="B67" s="146"/>
      <c r="C67" s="146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</row>
    <row r="68" spans="2:71" s="136" customFormat="1">
      <c r="B68" s="146"/>
      <c r="C68" s="146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2:71" s="136" customFormat="1">
      <c r="B69" s="146"/>
      <c r="C69" s="146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</row>
    <row r="70" spans="2:71" s="136" customFormat="1">
      <c r="B70" s="146"/>
      <c r="C70" s="146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2:71" s="136" customFormat="1">
      <c r="B71" s="146"/>
      <c r="C71" s="146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2:71" s="136" customFormat="1">
      <c r="B72" s="146"/>
      <c r="C72" s="146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2:71" s="136" customFormat="1">
      <c r="B73" s="146"/>
      <c r="C73" s="146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2:71" s="136" customFormat="1">
      <c r="B74" s="146"/>
      <c r="C74" s="146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2:71" s="136" customFormat="1">
      <c r="B75" s="146"/>
      <c r="C75" s="146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2:71" s="136" customFormat="1">
      <c r="B76" s="146"/>
      <c r="C76" s="146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2:71" s="136" customFormat="1">
      <c r="B77" s="146"/>
      <c r="C77" s="146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2:71" s="136" customFormat="1">
      <c r="B78" s="146"/>
      <c r="C78" s="146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2:71" s="136" customFormat="1">
      <c r="B79" s="146"/>
      <c r="C79" s="146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2:71" s="136" customFormat="1">
      <c r="B80" s="146"/>
      <c r="C80" s="146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2:71" s="136" customFormat="1">
      <c r="B81" s="146"/>
      <c r="C81" s="146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2:71" s="136" customFormat="1">
      <c r="B82" s="146"/>
      <c r="C82" s="146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2:71" s="136" customFormat="1">
      <c r="B83" s="146"/>
      <c r="C83" s="146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</row>
    <row r="84" spans="2:71" s="136" customFormat="1">
      <c r="B84" s="146"/>
      <c r="C84" s="146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2:71" s="136" customFormat="1">
      <c r="B85" s="146"/>
      <c r="C85" s="146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</row>
    <row r="86" spans="2:71" s="136" customFormat="1">
      <c r="B86" s="146"/>
      <c r="C86" s="146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2:71" s="136" customFormat="1">
      <c r="B87" s="146"/>
      <c r="C87" s="146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</row>
    <row r="88" spans="2:71" s="136" customFormat="1">
      <c r="B88" s="146"/>
      <c r="C88" s="146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</row>
    <row r="89" spans="2:71" s="136" customFormat="1">
      <c r="B89" s="146"/>
      <c r="C89" s="146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2:71" s="136" customFormat="1">
      <c r="B90" s="146"/>
      <c r="C90" s="146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2:71" s="136" customFormat="1">
      <c r="B91" s="146"/>
      <c r="C91" s="146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2:71" s="136" customFormat="1">
      <c r="B92" s="146"/>
      <c r="C92" s="146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2:71" s="136" customFormat="1">
      <c r="B93" s="146"/>
      <c r="C93" s="146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2:71" s="136" customFormat="1">
      <c r="B94" s="146"/>
      <c r="C94" s="146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2:71" s="136" customFormat="1">
      <c r="B95" s="146"/>
      <c r="C95" s="146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2:71" s="136" customFormat="1">
      <c r="B96" s="146"/>
      <c r="C96" s="146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2:71" s="136" customFormat="1">
      <c r="B97" s="146"/>
      <c r="C97" s="146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2:71" s="136" customFormat="1">
      <c r="B98" s="146"/>
      <c r="C98" s="146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</row>
    <row r="99" spans="2:71" s="136" customFormat="1">
      <c r="B99" s="146"/>
      <c r="C99" s="146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</row>
    <row r="100" spans="2:71" s="136" customFormat="1">
      <c r="B100" s="146"/>
      <c r="C100" s="146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</row>
    <row r="101" spans="2:71" s="136" customFormat="1">
      <c r="B101" s="146"/>
      <c r="C101" s="146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2:71" s="136" customFormat="1">
      <c r="B102" s="146"/>
      <c r="C102" s="146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2:71" s="136" customFormat="1">
      <c r="B103" s="146"/>
      <c r="C103" s="146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</row>
    <row r="104" spans="2:71" s="136" customFormat="1">
      <c r="B104" s="146"/>
      <c r="C104" s="146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</row>
    <row r="105" spans="2:71" s="136" customFormat="1">
      <c r="B105" s="146"/>
      <c r="C105" s="146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</row>
    <row r="106" spans="2:71" s="136" customFormat="1">
      <c r="B106" s="146"/>
      <c r="C106" s="146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</row>
    <row r="107" spans="2:71" s="136" customFormat="1">
      <c r="B107" s="146"/>
      <c r="C107" s="146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</row>
    <row r="108" spans="2:71" s="136" customFormat="1">
      <c r="B108" s="146"/>
      <c r="C108" s="146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</row>
    <row r="109" spans="2:71" s="136" customFormat="1">
      <c r="B109" s="146"/>
      <c r="C109" s="146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</row>
    <row r="110" spans="2:71" s="136" customFormat="1">
      <c r="B110" s="146"/>
      <c r="C110" s="146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</row>
    <row r="111" spans="2:71" s="136" customFormat="1">
      <c r="B111" s="146"/>
      <c r="C111" s="146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</row>
    <row r="112" spans="2:71" s="136" customFormat="1">
      <c r="B112" s="146"/>
      <c r="C112" s="146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</row>
    <row r="113" spans="2:71" s="136" customFormat="1">
      <c r="B113" s="146"/>
      <c r="C113" s="146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</row>
    <row r="114" spans="2:71" s="136" customFormat="1">
      <c r="B114" s="146"/>
      <c r="C114" s="146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</row>
    <row r="115" spans="2:71" s="136" customFormat="1">
      <c r="B115" s="146"/>
      <c r="C115" s="146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2:71" s="136" customFormat="1">
      <c r="B116" s="146"/>
      <c r="C116" s="146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</row>
    <row r="117" spans="2:71" s="136" customFormat="1">
      <c r="B117" s="146"/>
      <c r="C117" s="146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</row>
    <row r="118" spans="2:71" s="136" customFormat="1">
      <c r="B118" s="146"/>
      <c r="C118" s="146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</row>
    <row r="119" spans="2:71" s="136" customFormat="1">
      <c r="B119" s="146"/>
      <c r="C119" s="146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</row>
    <row r="120" spans="2:71" s="136" customFormat="1">
      <c r="B120" s="146"/>
      <c r="C120" s="146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</row>
    <row r="121" spans="2:71" s="136" customFormat="1">
      <c r="B121" s="146"/>
      <c r="C121" s="146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</row>
    <row r="122" spans="2:71" s="136" customFormat="1">
      <c r="B122" s="146"/>
      <c r="C122" s="146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2:71" s="136" customFormat="1">
      <c r="B123" s="146"/>
      <c r="C123" s="146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</row>
    <row r="124" spans="2:71" s="136" customFormat="1">
      <c r="B124" s="146"/>
      <c r="C124" s="146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</row>
    <row r="125" spans="2:71" s="136" customFormat="1">
      <c r="B125" s="146"/>
      <c r="C125" s="146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</row>
    <row r="126" spans="2:71" s="136" customFormat="1">
      <c r="B126" s="146"/>
      <c r="C126" s="146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</row>
    <row r="127" spans="2:71" s="136" customFormat="1">
      <c r="B127" s="146"/>
      <c r="C127" s="146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</row>
    <row r="128" spans="2:71" s="136" customFormat="1">
      <c r="B128" s="146"/>
      <c r="C128" s="146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</row>
    <row r="129" spans="2:71" s="136" customFormat="1">
      <c r="B129" s="146"/>
      <c r="C129" s="146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2:71" s="136" customFormat="1">
      <c r="B130" s="146"/>
      <c r="C130" s="146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2:71" s="136" customFormat="1">
      <c r="B131" s="146"/>
      <c r="C131" s="146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</row>
    <row r="132" spans="2:71" s="136" customFormat="1">
      <c r="B132" s="146"/>
      <c r="C132" s="146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</row>
    <row r="133" spans="2:71" s="136" customFormat="1">
      <c r="B133" s="146"/>
      <c r="C133" s="146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</row>
    <row r="134" spans="2:71" s="136" customFormat="1">
      <c r="B134" s="146"/>
      <c r="C134" s="146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</row>
    <row r="135" spans="2:71" s="136" customFormat="1">
      <c r="B135" s="146"/>
      <c r="C135" s="146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</row>
    <row r="136" spans="2:71" s="136" customFormat="1">
      <c r="B136" s="146"/>
      <c r="C136" s="146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</row>
    <row r="137" spans="2:71" s="136" customFormat="1">
      <c r="B137" s="146"/>
      <c r="C137" s="146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</row>
    <row r="138" spans="2:71" s="136" customFormat="1">
      <c r="B138" s="146"/>
      <c r="C138" s="146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</row>
    <row r="139" spans="2:71" s="136" customFormat="1">
      <c r="B139" s="146"/>
      <c r="C139" s="146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</row>
    <row r="140" spans="2:71" s="136" customFormat="1">
      <c r="B140" s="146"/>
      <c r="C140" s="146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</row>
    <row r="141" spans="2:71" s="136" customFormat="1">
      <c r="B141" s="146"/>
      <c r="C141" s="146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</row>
    <row r="142" spans="2:71" s="136" customFormat="1">
      <c r="B142" s="146"/>
      <c r="C142" s="146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</row>
    <row r="143" spans="2:71" s="136" customFormat="1">
      <c r="B143" s="146"/>
      <c r="C143" s="146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</row>
    <row r="144" spans="2:71" s="136" customFormat="1">
      <c r="B144" s="146"/>
      <c r="C144" s="146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</row>
    <row r="145" spans="2:71" s="136" customFormat="1">
      <c r="B145" s="146"/>
      <c r="C145" s="146"/>
      <c r="D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</row>
    <row r="146" spans="2:71" s="136" customFormat="1">
      <c r="B146" s="146"/>
      <c r="C146" s="146"/>
      <c r="D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</row>
    <row r="147" spans="2:71" s="136" customFormat="1">
      <c r="B147" s="146"/>
      <c r="C147" s="146"/>
      <c r="D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</row>
    <row r="148" spans="2:71" s="136" customFormat="1">
      <c r="B148" s="146"/>
      <c r="C148" s="146"/>
      <c r="D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</row>
    <row r="149" spans="2:71" s="136" customFormat="1">
      <c r="B149" s="146"/>
      <c r="C149" s="146"/>
      <c r="D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</row>
    <row r="150" spans="2:71" s="136" customFormat="1">
      <c r="B150" s="146"/>
      <c r="C150" s="146"/>
      <c r="D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</row>
  </sheetData>
  <mergeCells count="12">
    <mergeCell ref="AY10:BC10"/>
    <mergeCell ref="BI4:BP4"/>
    <mergeCell ref="T4:AN4"/>
    <mergeCell ref="AO4:AP4"/>
    <mergeCell ref="AQ4:AR4"/>
    <mergeCell ref="AY4:BC4"/>
    <mergeCell ref="AS4:AX4"/>
    <mergeCell ref="AY6:BC6"/>
    <mergeCell ref="AY8:BC8"/>
    <mergeCell ref="AY9:BC9"/>
    <mergeCell ref="BD4:BH4"/>
    <mergeCell ref="AY7:BC7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BM154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5"/>
  <cols>
    <col min="1" max="1" width="12.28515625" style="146" bestFit="1" customWidth="1"/>
    <col min="2" max="2" width="6.28515625" style="146" customWidth="1"/>
    <col min="3" max="3" width="26.28515625" style="11" bestFit="1" customWidth="1"/>
    <col min="4" max="4" width="11.140625" style="11" customWidth="1"/>
    <col min="5" max="5" width="53.85546875" style="136" customWidth="1"/>
    <col min="6" max="6" width="22.7109375" style="11" customWidth="1"/>
    <col min="7" max="7" width="15.7109375" style="11" customWidth="1"/>
    <col min="8" max="8" width="14.7109375" style="11" customWidth="1"/>
    <col min="9" max="9" width="10.7109375" style="11" customWidth="1"/>
    <col min="10" max="10" width="13.42578125" style="11" customWidth="1"/>
    <col min="11" max="11" width="13.140625" style="11" hidden="1" customWidth="1"/>
    <col min="12" max="12" width="13.42578125" style="11" hidden="1" customWidth="1"/>
    <col min="13" max="13" width="13.28515625" style="11" hidden="1" customWidth="1"/>
    <col min="14" max="14" width="13.42578125" style="11" hidden="1" customWidth="1"/>
    <col min="15" max="15" width="10.7109375" style="11" hidden="1" customWidth="1"/>
    <col min="16" max="16" width="13.42578125" style="11" hidden="1" customWidth="1"/>
    <col min="17" max="17" width="9.7109375" style="11" hidden="1" customWidth="1"/>
    <col min="18" max="18" width="13.140625" style="11" hidden="1" customWidth="1"/>
    <col min="19" max="19" width="12.140625" style="11" hidden="1" customWidth="1"/>
    <col min="20" max="20" width="10" style="11" customWidth="1"/>
    <col min="21" max="21" width="6.140625" style="11" customWidth="1"/>
    <col min="22" max="22" width="8.85546875" style="11" customWidth="1"/>
    <col min="23" max="23" width="7.140625" style="11" customWidth="1"/>
    <col min="24" max="24" width="11.28515625" style="11" customWidth="1"/>
    <col min="25" max="25" width="9.42578125" style="11" customWidth="1"/>
    <col min="26" max="26" width="10.5703125" style="11" customWidth="1"/>
    <col min="27" max="28" width="8.42578125" style="11" customWidth="1"/>
    <col min="29" max="29" width="7.140625" style="11" customWidth="1"/>
    <col min="30" max="30" width="7.7109375" style="11" customWidth="1"/>
    <col min="31" max="31" width="10.28515625" style="11" customWidth="1"/>
    <col min="32" max="32" width="15.5703125" style="11" customWidth="1"/>
    <col min="33" max="33" width="7.7109375" style="11" customWidth="1"/>
    <col min="34" max="34" width="10.5703125" style="11" customWidth="1"/>
    <col min="35" max="35" width="6.140625" style="11" customWidth="1"/>
    <col min="36" max="36" width="9.28515625" style="11" customWidth="1"/>
    <col min="37" max="37" width="14.140625" style="11" customWidth="1"/>
    <col min="38" max="38" width="9.28515625" style="11" customWidth="1"/>
    <col min="39" max="39" width="9" style="11" customWidth="1"/>
    <col min="40" max="40" width="6.5703125" style="11" customWidth="1"/>
    <col min="41" max="41" width="8" style="11" customWidth="1"/>
    <col min="42" max="42" width="9.140625" style="11" customWidth="1"/>
    <col min="43" max="43" width="14.85546875" style="11" customWidth="1"/>
    <col min="44" max="44" width="17.140625" style="11" customWidth="1"/>
    <col min="45" max="45" width="7" style="11" bestFit="1" customWidth="1"/>
    <col min="46" max="46" width="17.85546875" style="11" customWidth="1"/>
    <col min="47" max="47" width="6.85546875" style="11" bestFit="1" customWidth="1"/>
    <col min="48" max="48" width="6.7109375" style="11" customWidth="1"/>
    <col min="49" max="49" width="7.5703125" style="11" bestFit="1" customWidth="1"/>
    <col min="50" max="50" width="7" style="11" bestFit="1" customWidth="1"/>
    <col min="51" max="51" width="20.140625" style="11" bestFit="1" customWidth="1"/>
    <col min="52" max="52" width="6.85546875" style="11" bestFit="1" customWidth="1"/>
    <col min="53" max="53" width="5.5703125" style="11" bestFit="1" customWidth="1"/>
    <col min="54" max="54" width="7.5703125" style="11" bestFit="1" customWidth="1"/>
    <col min="55" max="55" width="17.85546875" style="11" customWidth="1"/>
    <col min="56" max="56" width="10.42578125" style="11" bestFit="1" customWidth="1"/>
    <col min="57" max="57" width="12" style="11" bestFit="1" customWidth="1"/>
    <col min="58" max="59" width="14.42578125" style="11" bestFit="1" customWidth="1"/>
    <col min="60" max="60" width="13.28515625" style="11" bestFit="1" customWidth="1"/>
    <col min="61" max="61" width="16.28515625" style="11" bestFit="1" customWidth="1"/>
    <col min="62" max="62" width="22.28515625" style="11" customWidth="1"/>
    <col min="63" max="63" width="12.140625" style="11" hidden="1" customWidth="1"/>
    <col min="64" max="64" width="15.42578125" style="11" hidden="1" customWidth="1"/>
    <col min="65" max="65" width="12.42578125" style="11" hidden="1" customWidth="1"/>
    <col min="66" max="16384" width="9.140625" style="11"/>
  </cols>
  <sheetData>
    <row r="2" spans="1:65" ht="23.25">
      <c r="E2" s="9" t="s">
        <v>578</v>
      </c>
      <c r="G2" s="9"/>
      <c r="H2" s="10"/>
    </row>
    <row r="4" spans="1:65" ht="15.75">
      <c r="C4" s="137" t="s">
        <v>17</v>
      </c>
      <c r="D4" s="137"/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X4" s="18" t="s">
        <v>16</v>
      </c>
      <c r="Y4" s="18"/>
      <c r="Z4" s="17"/>
      <c r="AA4" s="17"/>
      <c r="AB4" s="19"/>
      <c r="AC4" s="19"/>
      <c r="AD4" s="19"/>
      <c r="AE4" s="19"/>
      <c r="AF4" s="19"/>
      <c r="AG4" s="19"/>
      <c r="AH4" s="19"/>
      <c r="AI4" s="19"/>
      <c r="AO4" s="221" t="s">
        <v>703</v>
      </c>
      <c r="AP4" s="221"/>
      <c r="AQ4" s="392" t="s">
        <v>19</v>
      </c>
      <c r="AR4" s="392"/>
      <c r="AS4" s="393" t="s">
        <v>22</v>
      </c>
      <c r="AT4" s="393"/>
      <c r="AU4" s="393"/>
      <c r="AV4" s="393"/>
      <c r="AW4" s="393"/>
      <c r="AX4" s="398" t="s">
        <v>28</v>
      </c>
      <c r="AY4" s="398"/>
      <c r="AZ4" s="398"/>
      <c r="BA4" s="398"/>
      <c r="BB4" s="398"/>
      <c r="BC4" s="389" t="s">
        <v>34</v>
      </c>
      <c r="BD4" s="389"/>
      <c r="BE4" s="389"/>
      <c r="BF4" s="389"/>
      <c r="BG4" s="389"/>
      <c r="BH4" s="389"/>
      <c r="BI4" s="389"/>
      <c r="BJ4" s="389"/>
    </row>
    <row r="5" spans="1:65" ht="30">
      <c r="A5" s="139" t="s">
        <v>0</v>
      </c>
      <c r="B5" s="150" t="s">
        <v>658</v>
      </c>
      <c r="C5" s="139" t="s">
        <v>2</v>
      </c>
      <c r="D5" s="30" t="s">
        <v>56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39</v>
      </c>
      <c r="AL5" s="32" t="s">
        <v>738</v>
      </c>
      <c r="AM5" s="32" t="s">
        <v>40</v>
      </c>
      <c r="AN5" s="32" t="s">
        <v>13</v>
      </c>
      <c r="AO5" s="140" t="s">
        <v>20</v>
      </c>
      <c r="AP5" s="141" t="s">
        <v>21</v>
      </c>
      <c r="AQ5" s="33" t="s">
        <v>18</v>
      </c>
      <c r="AR5" s="33" t="s">
        <v>55</v>
      </c>
      <c r="AS5" s="35" t="s">
        <v>23</v>
      </c>
      <c r="AT5" s="35" t="s">
        <v>24</v>
      </c>
      <c r="AU5" s="35" t="s">
        <v>25</v>
      </c>
      <c r="AV5" s="35" t="s">
        <v>26</v>
      </c>
      <c r="AW5" s="35" t="s">
        <v>27</v>
      </c>
      <c r="AX5" s="36" t="s">
        <v>23</v>
      </c>
      <c r="AY5" s="36" t="s">
        <v>24</v>
      </c>
      <c r="AZ5" s="36" t="s">
        <v>25</v>
      </c>
      <c r="BA5" s="36" t="s">
        <v>26</v>
      </c>
      <c r="BB5" s="36" t="s">
        <v>27</v>
      </c>
      <c r="BC5" s="37" t="s">
        <v>45</v>
      </c>
      <c r="BD5" s="38" t="s">
        <v>29</v>
      </c>
      <c r="BE5" s="38" t="s">
        <v>30</v>
      </c>
      <c r="BF5" s="38" t="s">
        <v>31</v>
      </c>
      <c r="BG5" s="38" t="s">
        <v>32</v>
      </c>
      <c r="BH5" s="38" t="s">
        <v>33</v>
      </c>
      <c r="BI5" s="38" t="s">
        <v>35</v>
      </c>
      <c r="BJ5" s="38" t="s">
        <v>44</v>
      </c>
      <c r="BK5" s="38" t="s">
        <v>41</v>
      </c>
      <c r="BL5" s="38" t="s">
        <v>42</v>
      </c>
      <c r="BM5" s="38" t="s">
        <v>43</v>
      </c>
    </row>
    <row r="6" spans="1:65" ht="30">
      <c r="A6" s="210" t="s">
        <v>653</v>
      </c>
      <c r="B6" s="207" t="s">
        <v>541</v>
      </c>
      <c r="C6" s="216" t="s">
        <v>702</v>
      </c>
      <c r="D6" s="186" t="s">
        <v>569</v>
      </c>
      <c r="E6" s="220" t="s">
        <v>682</v>
      </c>
      <c r="F6" s="187" t="s">
        <v>669</v>
      </c>
      <c r="G6" s="187" t="s">
        <v>668</v>
      </c>
      <c r="H6" s="182"/>
      <c r="I6" s="182"/>
      <c r="J6" s="182"/>
      <c r="K6" s="184"/>
      <c r="L6" s="197"/>
      <c r="M6" s="197"/>
      <c r="N6" s="197"/>
      <c r="O6" s="197"/>
      <c r="P6" s="197"/>
      <c r="Q6" s="197"/>
      <c r="R6" s="197"/>
      <c r="S6" s="197"/>
      <c r="T6" s="217" t="s">
        <v>680</v>
      </c>
      <c r="U6" s="217"/>
      <c r="V6" s="181"/>
      <c r="W6" s="217"/>
      <c r="X6" s="219" t="s">
        <v>681</v>
      </c>
      <c r="Y6" s="217"/>
      <c r="Z6" s="219" t="s">
        <v>667</v>
      </c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180">
        <v>98.12</v>
      </c>
      <c r="AP6" s="175">
        <f>AO6/0.444</f>
        <v>220.99099099099101</v>
      </c>
      <c r="AQ6" s="193" t="s">
        <v>660</v>
      </c>
      <c r="AR6" s="193" t="s">
        <v>661</v>
      </c>
      <c r="AS6" s="388" t="s">
        <v>662</v>
      </c>
      <c r="AT6" s="388"/>
      <c r="AU6" s="388"/>
      <c r="AV6" s="388"/>
      <c r="AW6" s="388"/>
      <c r="AX6" s="190">
        <v>2.375</v>
      </c>
      <c r="AY6" s="190">
        <v>2.5</v>
      </c>
      <c r="AZ6" s="190">
        <v>8.875</v>
      </c>
      <c r="BA6" s="191">
        <f t="shared" ref="BA6:BA18" si="0">(AZ6*AY6*AX6)/1728</f>
        <v>3.0494972511574073E-2</v>
      </c>
      <c r="BB6" s="192">
        <f>0.55+0.1</f>
        <v>0.65</v>
      </c>
      <c r="BC6" s="193" t="s">
        <v>68</v>
      </c>
      <c r="BD6" s="193">
        <v>1</v>
      </c>
      <c r="BE6" s="193">
        <v>156</v>
      </c>
      <c r="BF6" s="193">
        <v>4</v>
      </c>
      <c r="BG6" s="194">
        <f t="shared" ref="BG6:BG18" si="1">BD6*BE6*BF6</f>
        <v>624</v>
      </c>
      <c r="BH6" s="194">
        <f t="shared" ref="BH6:BH18" si="2">(BB6*BE6*BF6)+50</f>
        <v>455.6</v>
      </c>
      <c r="BI6" s="194" t="s">
        <v>286</v>
      </c>
      <c r="BJ6" s="194" t="s">
        <v>107</v>
      </c>
      <c r="BK6" s="199"/>
      <c r="BL6" s="38"/>
      <c r="BM6" s="38"/>
    </row>
    <row r="7" spans="1:65" ht="28.5" customHeight="1">
      <c r="A7" s="209" t="s">
        <v>775</v>
      </c>
      <c r="B7" s="207" t="s">
        <v>541</v>
      </c>
      <c r="C7" s="216" t="s">
        <v>786</v>
      </c>
      <c r="D7" s="152" t="s">
        <v>569</v>
      </c>
      <c r="E7" s="238" t="s">
        <v>776</v>
      </c>
      <c r="F7" s="152" t="s">
        <v>306</v>
      </c>
      <c r="G7" s="207" t="s">
        <v>777</v>
      </c>
      <c r="H7" s="182"/>
      <c r="I7" s="182"/>
      <c r="J7" s="182"/>
      <c r="K7" s="184"/>
      <c r="L7" s="197"/>
      <c r="M7" s="197"/>
      <c r="N7" s="197"/>
      <c r="O7" s="197"/>
      <c r="P7" s="197"/>
      <c r="Q7" s="197"/>
      <c r="R7" s="197"/>
      <c r="S7" s="197"/>
      <c r="T7" s="217" t="s">
        <v>778</v>
      </c>
      <c r="U7" s="217"/>
      <c r="V7" s="181"/>
      <c r="W7" s="217"/>
      <c r="X7" s="219"/>
      <c r="Y7" s="217"/>
      <c r="Z7" s="219" t="s">
        <v>779</v>
      </c>
      <c r="AA7" s="217" t="s">
        <v>780</v>
      </c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>
        <v>57799</v>
      </c>
      <c r="AO7" s="180">
        <v>31.95</v>
      </c>
      <c r="AP7" s="175">
        <f>AO7/0.444</f>
        <v>71.959459459459453</v>
      </c>
      <c r="AQ7" s="188" t="s">
        <v>781</v>
      </c>
      <c r="AR7" s="188" t="s">
        <v>782</v>
      </c>
      <c r="AS7" s="395" t="s">
        <v>720</v>
      </c>
      <c r="AT7" s="396"/>
      <c r="AU7" s="396"/>
      <c r="AV7" s="396"/>
      <c r="AW7" s="397"/>
      <c r="AX7" s="212">
        <v>18.056000000000001</v>
      </c>
      <c r="AY7" s="212">
        <v>12.055999999999999</v>
      </c>
      <c r="AZ7" s="212">
        <v>11.231999999999999</v>
      </c>
      <c r="BA7" s="191">
        <f t="shared" si="0"/>
        <v>1.4149403839999997</v>
      </c>
      <c r="BB7" s="212">
        <f>3.5*6+0.4</f>
        <v>21.4</v>
      </c>
      <c r="BC7" s="215" t="s">
        <v>68</v>
      </c>
      <c r="BD7" s="215">
        <v>6</v>
      </c>
      <c r="BE7" s="215">
        <v>8</v>
      </c>
      <c r="BF7" s="215">
        <v>4</v>
      </c>
      <c r="BG7" s="194">
        <f t="shared" si="1"/>
        <v>192</v>
      </c>
      <c r="BH7" s="194">
        <f t="shared" si="2"/>
        <v>734.8</v>
      </c>
      <c r="BI7" s="194" t="s">
        <v>65</v>
      </c>
      <c r="BJ7" s="194" t="s">
        <v>107</v>
      </c>
      <c r="BK7" s="199"/>
      <c r="BL7" s="38"/>
      <c r="BM7" s="38"/>
    </row>
    <row r="8" spans="1:65" ht="15" customHeight="1">
      <c r="A8" s="193" t="s">
        <v>656</v>
      </c>
      <c r="B8" s="207" t="s">
        <v>541</v>
      </c>
      <c r="C8" s="152" t="s">
        <v>700</v>
      </c>
      <c r="D8" s="186" t="s">
        <v>569</v>
      </c>
      <c r="E8" s="216" t="s">
        <v>784</v>
      </c>
      <c r="F8" s="216" t="s">
        <v>677</v>
      </c>
      <c r="G8" s="182" t="s">
        <v>678</v>
      </c>
      <c r="H8" s="218"/>
      <c r="I8" s="182"/>
      <c r="J8" s="182"/>
      <c r="K8" s="184"/>
      <c r="L8" s="197"/>
      <c r="M8" s="197"/>
      <c r="N8" s="197"/>
      <c r="O8" s="197"/>
      <c r="P8" s="197"/>
      <c r="Q8" s="197"/>
      <c r="R8" s="197"/>
      <c r="S8" s="197"/>
      <c r="T8" s="217"/>
      <c r="U8" s="217"/>
      <c r="V8" s="181"/>
      <c r="W8" s="217"/>
      <c r="X8" s="181" t="s">
        <v>679</v>
      </c>
      <c r="Y8" s="217"/>
      <c r="Z8" s="181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180">
        <v>291.25</v>
      </c>
      <c r="AP8" s="175">
        <f t="shared" ref="AP8:AP18" si="3">AO8/0.444</f>
        <v>655.96846846846847</v>
      </c>
      <c r="AQ8" s="193" t="s">
        <v>665</v>
      </c>
      <c r="AR8" s="189">
        <v>10038568737110</v>
      </c>
      <c r="AS8" s="388" t="s">
        <v>662</v>
      </c>
      <c r="AT8" s="388"/>
      <c r="AU8" s="388"/>
      <c r="AV8" s="388"/>
      <c r="AW8" s="388"/>
      <c r="AX8" s="190">
        <v>5.25</v>
      </c>
      <c r="AY8" s="190">
        <v>5.25</v>
      </c>
      <c r="AZ8" s="190">
        <v>20.5</v>
      </c>
      <c r="BA8" s="191">
        <f t="shared" si="0"/>
        <v>0.32698567708333331</v>
      </c>
      <c r="BB8" s="192">
        <v>3.25</v>
      </c>
      <c r="BC8" s="193" t="s">
        <v>68</v>
      </c>
      <c r="BD8" s="193">
        <v>1</v>
      </c>
      <c r="BE8" s="193">
        <v>36</v>
      </c>
      <c r="BF8" s="193">
        <v>2</v>
      </c>
      <c r="BG8" s="194">
        <f t="shared" si="1"/>
        <v>72</v>
      </c>
      <c r="BH8" s="194">
        <f t="shared" si="2"/>
        <v>284</v>
      </c>
      <c r="BI8" s="194" t="s">
        <v>514</v>
      </c>
      <c r="BJ8" s="194" t="s">
        <v>107</v>
      </c>
      <c r="BK8" s="199"/>
      <c r="BL8" s="38"/>
      <c r="BM8" s="38"/>
    </row>
    <row r="9" spans="1:65" ht="15" customHeight="1">
      <c r="A9" s="193" t="s">
        <v>657</v>
      </c>
      <c r="B9" s="207" t="s">
        <v>541</v>
      </c>
      <c r="C9" s="152" t="s">
        <v>701</v>
      </c>
      <c r="D9" s="186" t="s">
        <v>85</v>
      </c>
      <c r="E9" s="216" t="s">
        <v>783</v>
      </c>
      <c r="F9" s="187" t="s">
        <v>671</v>
      </c>
      <c r="G9" s="182" t="s">
        <v>670</v>
      </c>
      <c r="H9" s="220"/>
      <c r="I9" s="182"/>
      <c r="J9" s="182"/>
      <c r="K9" s="184"/>
      <c r="L9" s="197"/>
      <c r="M9" s="197"/>
      <c r="N9" s="197"/>
      <c r="O9" s="197"/>
      <c r="P9" s="197"/>
      <c r="Q9" s="197"/>
      <c r="R9" s="197"/>
      <c r="S9" s="197"/>
      <c r="T9" s="217" t="s">
        <v>673</v>
      </c>
      <c r="U9" s="217"/>
      <c r="V9" s="181"/>
      <c r="W9" s="217"/>
      <c r="X9" s="181" t="s">
        <v>674</v>
      </c>
      <c r="Y9" s="217"/>
      <c r="Z9" s="181" t="s">
        <v>672</v>
      </c>
      <c r="AA9" s="217" t="s">
        <v>675</v>
      </c>
      <c r="AB9" s="217"/>
      <c r="AC9" s="217"/>
      <c r="AD9" s="217"/>
      <c r="AE9" s="217"/>
      <c r="AF9" s="217"/>
      <c r="AG9" s="217"/>
      <c r="AH9" s="217"/>
      <c r="AI9" s="217"/>
      <c r="AJ9" s="217" t="s">
        <v>676</v>
      </c>
      <c r="AK9" s="217"/>
      <c r="AL9" s="217"/>
      <c r="AM9" s="217"/>
      <c r="AN9" s="217">
        <v>42763</v>
      </c>
      <c r="AO9" s="180">
        <v>29.85</v>
      </c>
      <c r="AP9" s="175">
        <f t="shared" si="3"/>
        <v>67.229729729729726</v>
      </c>
      <c r="AQ9" s="193" t="s">
        <v>666</v>
      </c>
      <c r="AR9" s="189">
        <v>10038568738018</v>
      </c>
      <c r="AS9" s="388" t="s">
        <v>662</v>
      </c>
      <c r="AT9" s="388"/>
      <c r="AU9" s="388"/>
      <c r="AV9" s="388"/>
      <c r="AW9" s="388"/>
      <c r="AX9" s="190">
        <v>7.25</v>
      </c>
      <c r="AY9" s="190">
        <v>9.1199999999999992</v>
      </c>
      <c r="AZ9" s="190">
        <v>14.5</v>
      </c>
      <c r="BA9" s="191">
        <f t="shared" si="0"/>
        <v>0.5548263888888888</v>
      </c>
      <c r="BB9" s="192">
        <f>2.61+0.25</f>
        <v>2.86</v>
      </c>
      <c r="BC9" s="193" t="s">
        <v>68</v>
      </c>
      <c r="BD9" s="193">
        <v>1</v>
      </c>
      <c r="BE9" s="193">
        <v>13</v>
      </c>
      <c r="BF9" s="193">
        <v>5</v>
      </c>
      <c r="BG9" s="194">
        <f t="shared" si="1"/>
        <v>65</v>
      </c>
      <c r="BH9" s="194">
        <f t="shared" si="2"/>
        <v>235.9</v>
      </c>
      <c r="BI9" s="194" t="s">
        <v>65</v>
      </c>
      <c r="BJ9" s="194" t="s">
        <v>107</v>
      </c>
      <c r="BK9" s="199"/>
      <c r="BL9" s="38"/>
      <c r="BM9" s="38"/>
    </row>
    <row r="10" spans="1:65" ht="30">
      <c r="A10" s="215" t="s">
        <v>654</v>
      </c>
      <c r="B10" s="207" t="s">
        <v>659</v>
      </c>
      <c r="C10" s="152" t="s">
        <v>63</v>
      </c>
      <c r="D10" s="186" t="s">
        <v>85</v>
      </c>
      <c r="E10" s="216" t="s">
        <v>689</v>
      </c>
      <c r="F10" s="187" t="s">
        <v>256</v>
      </c>
      <c r="G10" s="182" t="s">
        <v>690</v>
      </c>
      <c r="H10" s="182" t="s">
        <v>260</v>
      </c>
      <c r="I10" s="182" t="s">
        <v>691</v>
      </c>
      <c r="J10" s="182"/>
      <c r="K10" s="184"/>
      <c r="L10" s="197"/>
      <c r="M10" s="197"/>
      <c r="N10" s="197"/>
      <c r="O10" s="197"/>
      <c r="P10" s="197"/>
      <c r="Q10" s="197"/>
      <c r="R10" s="197"/>
      <c r="S10" s="197"/>
      <c r="T10" s="217"/>
      <c r="U10" s="217"/>
      <c r="V10" s="181">
        <v>83746</v>
      </c>
      <c r="W10" s="217"/>
      <c r="X10" s="181"/>
      <c r="Y10" s="217"/>
      <c r="Z10" s="181"/>
      <c r="AA10" s="217" t="s">
        <v>683</v>
      </c>
      <c r="AB10" s="217" t="s">
        <v>684</v>
      </c>
      <c r="AC10" s="217"/>
      <c r="AD10" s="217" t="s">
        <v>685</v>
      </c>
      <c r="AE10" s="217"/>
      <c r="AF10" s="217"/>
      <c r="AG10" s="217" t="s">
        <v>654</v>
      </c>
      <c r="AH10" s="217"/>
      <c r="AI10" s="217">
        <v>9746</v>
      </c>
      <c r="AJ10" s="217" t="s">
        <v>686</v>
      </c>
      <c r="AK10" s="217" t="s">
        <v>687</v>
      </c>
      <c r="AL10" s="217"/>
      <c r="AM10" s="217" t="s">
        <v>688</v>
      </c>
      <c r="AN10" s="217">
        <v>49746</v>
      </c>
      <c r="AO10" s="180">
        <v>26.95</v>
      </c>
      <c r="AP10" s="175">
        <f t="shared" si="3"/>
        <v>60.698198198198199</v>
      </c>
      <c r="AQ10" s="188" t="s">
        <v>663</v>
      </c>
      <c r="AR10" s="189">
        <v>10038568738315</v>
      </c>
      <c r="AS10" s="190">
        <v>10.536</v>
      </c>
      <c r="AT10" s="190">
        <v>2.786</v>
      </c>
      <c r="AU10" s="190">
        <v>15.036</v>
      </c>
      <c r="AV10" s="191">
        <f>(AU10*AT10*AS10)/1728</f>
        <v>0.25541444366666666</v>
      </c>
      <c r="AW10" s="190">
        <f>0.81+0.1</f>
        <v>0.91</v>
      </c>
      <c r="AX10" s="190">
        <v>15.68</v>
      </c>
      <c r="AY10" s="190">
        <v>11.81</v>
      </c>
      <c r="AZ10" s="190">
        <v>9.6199999999999992</v>
      </c>
      <c r="BA10" s="191">
        <f t="shared" si="0"/>
        <v>1.0309255185185184</v>
      </c>
      <c r="BB10" s="192">
        <f>AW10*BD10</f>
        <v>2.73</v>
      </c>
      <c r="BC10" s="193" t="s">
        <v>68</v>
      </c>
      <c r="BD10" s="193">
        <v>3</v>
      </c>
      <c r="BE10" s="193">
        <v>10</v>
      </c>
      <c r="BF10" s="193">
        <v>4</v>
      </c>
      <c r="BG10" s="194">
        <f t="shared" si="1"/>
        <v>120</v>
      </c>
      <c r="BH10" s="194">
        <f t="shared" si="2"/>
        <v>159.19999999999999</v>
      </c>
      <c r="BI10" s="194" t="s">
        <v>240</v>
      </c>
      <c r="BJ10" s="194" t="s">
        <v>107</v>
      </c>
      <c r="BK10" s="199"/>
      <c r="BL10" s="38"/>
      <c r="BM10" s="38"/>
    </row>
    <row r="11" spans="1:65">
      <c r="A11" s="193" t="s">
        <v>655</v>
      </c>
      <c r="B11" s="207" t="s">
        <v>659</v>
      </c>
      <c r="C11" s="152" t="s">
        <v>63</v>
      </c>
      <c r="D11" s="186" t="s">
        <v>85</v>
      </c>
      <c r="E11" s="216" t="s">
        <v>696</v>
      </c>
      <c r="F11" s="187" t="s">
        <v>697</v>
      </c>
      <c r="G11" s="182" t="s">
        <v>698</v>
      </c>
      <c r="H11" s="182"/>
      <c r="I11" s="182"/>
      <c r="J11" s="182"/>
      <c r="K11" s="184"/>
      <c r="L11" s="197"/>
      <c r="M11" s="197"/>
      <c r="N11" s="197"/>
      <c r="O11" s="197"/>
      <c r="P11" s="197"/>
      <c r="Q11" s="197"/>
      <c r="R11" s="197"/>
      <c r="S11" s="197"/>
      <c r="T11" s="217"/>
      <c r="U11" s="217"/>
      <c r="V11" s="181"/>
      <c r="W11" s="217"/>
      <c r="X11" s="181"/>
      <c r="Y11" s="217"/>
      <c r="Z11" s="181"/>
      <c r="AA11" s="217" t="s">
        <v>692</v>
      </c>
      <c r="AB11" s="217"/>
      <c r="AC11" s="217"/>
      <c r="AD11" s="217"/>
      <c r="AE11" s="217"/>
      <c r="AF11" s="217"/>
      <c r="AG11" s="217"/>
      <c r="AH11" s="217"/>
      <c r="AI11" s="217"/>
      <c r="AJ11" s="217" t="s">
        <v>693</v>
      </c>
      <c r="AK11" s="217" t="s">
        <v>694</v>
      </c>
      <c r="AL11" s="217"/>
      <c r="AM11" s="217" t="s">
        <v>695</v>
      </c>
      <c r="AN11" s="217"/>
      <c r="AO11" s="180">
        <v>19.649999999999999</v>
      </c>
      <c r="AP11" s="175">
        <f t="shared" si="3"/>
        <v>44.256756756756751</v>
      </c>
      <c r="AQ11" s="188" t="s">
        <v>664</v>
      </c>
      <c r="AR11" s="189">
        <v>10038568738322</v>
      </c>
      <c r="AS11" s="190">
        <v>10.036</v>
      </c>
      <c r="AT11" s="190">
        <v>2.536</v>
      </c>
      <c r="AU11" s="190">
        <v>12.571999999999999</v>
      </c>
      <c r="AV11" s="191">
        <f>(AU11*AT11*AS11)/1728</f>
        <v>0.18516996140740738</v>
      </c>
      <c r="AW11" s="190">
        <f>0.78925+0.1</f>
        <v>0.88924999999999998</v>
      </c>
      <c r="AX11" s="190">
        <v>13.25</v>
      </c>
      <c r="AY11" s="190">
        <v>11</v>
      </c>
      <c r="AZ11" s="190">
        <v>9</v>
      </c>
      <c r="BA11" s="191">
        <f t="shared" si="0"/>
        <v>0.75911458333333337</v>
      </c>
      <c r="BB11" s="192">
        <f>AW11*BD11</f>
        <v>2.6677499999999998</v>
      </c>
      <c r="BC11" s="193" t="s">
        <v>68</v>
      </c>
      <c r="BD11" s="193">
        <v>3</v>
      </c>
      <c r="BE11" s="193">
        <v>12</v>
      </c>
      <c r="BF11" s="193">
        <v>4</v>
      </c>
      <c r="BG11" s="194">
        <f t="shared" si="1"/>
        <v>144</v>
      </c>
      <c r="BH11" s="194">
        <f t="shared" si="2"/>
        <v>178.05199999999999</v>
      </c>
      <c r="BI11" s="194" t="s">
        <v>514</v>
      </c>
      <c r="BJ11" s="194" t="s">
        <v>107</v>
      </c>
      <c r="BK11" s="199"/>
      <c r="BL11" s="38"/>
      <c r="BM11" s="38"/>
    </row>
    <row r="12" spans="1:65" ht="15" customHeight="1">
      <c r="A12" s="215" t="s">
        <v>707</v>
      </c>
      <c r="B12" s="207" t="s">
        <v>582</v>
      </c>
      <c r="C12" s="152" t="s">
        <v>63</v>
      </c>
      <c r="D12" s="186" t="s">
        <v>85</v>
      </c>
      <c r="E12" s="216" t="s">
        <v>729</v>
      </c>
      <c r="F12" s="187" t="s">
        <v>728</v>
      </c>
      <c r="G12" s="182" t="s">
        <v>727</v>
      </c>
      <c r="H12" s="220"/>
      <c r="I12" s="182"/>
      <c r="J12" s="182"/>
      <c r="K12" s="184"/>
      <c r="L12" s="197"/>
      <c r="M12" s="197"/>
      <c r="N12" s="197"/>
      <c r="O12" s="197"/>
      <c r="P12" s="197"/>
      <c r="Q12" s="197"/>
      <c r="R12" s="197"/>
      <c r="S12" s="197"/>
      <c r="T12" s="217"/>
      <c r="U12" s="217"/>
      <c r="V12" s="181"/>
      <c r="W12" s="217"/>
      <c r="X12" s="181"/>
      <c r="Y12" s="217"/>
      <c r="Z12" s="181"/>
      <c r="AA12" s="217" t="s">
        <v>730</v>
      </c>
      <c r="AB12" s="217"/>
      <c r="AC12" s="217"/>
      <c r="AD12" s="217"/>
      <c r="AE12" s="217"/>
      <c r="AF12" s="217"/>
      <c r="AG12" s="217"/>
      <c r="AH12" s="217"/>
      <c r="AI12" s="217"/>
      <c r="AJ12" s="217" t="s">
        <v>731</v>
      </c>
      <c r="AK12" s="217" t="s">
        <v>732</v>
      </c>
      <c r="AL12" s="217"/>
      <c r="AM12" s="217" t="s">
        <v>733</v>
      </c>
      <c r="AN12" s="217">
        <v>49091</v>
      </c>
      <c r="AO12" s="180">
        <v>27.93</v>
      </c>
      <c r="AP12" s="175">
        <f t="shared" si="3"/>
        <v>62.905405405405403</v>
      </c>
      <c r="AQ12" s="188" t="s">
        <v>705</v>
      </c>
      <c r="AR12" s="188" t="s">
        <v>706</v>
      </c>
      <c r="AS12" s="212">
        <v>7.476</v>
      </c>
      <c r="AT12" s="212">
        <v>2.786</v>
      </c>
      <c r="AU12" s="212">
        <v>9.5719999999999992</v>
      </c>
      <c r="AV12" s="191">
        <f>(AU12*AT12*AS12)/1728</f>
        <v>0.11537437372222221</v>
      </c>
      <c r="AW12" s="212">
        <f>0.5+0.1</f>
        <v>0.6</v>
      </c>
      <c r="AX12" s="212">
        <v>8.625</v>
      </c>
      <c r="AY12" s="212">
        <v>8.625</v>
      </c>
      <c r="AZ12" s="212">
        <v>10.75</v>
      </c>
      <c r="BA12" s="191">
        <f t="shared" si="0"/>
        <v>0.46278889973958331</v>
      </c>
      <c r="BB12" s="212">
        <f>AW12*BD12+0.4</f>
        <v>2.1999999999999997</v>
      </c>
      <c r="BC12" s="215" t="s">
        <v>68</v>
      </c>
      <c r="BD12" s="215">
        <v>3</v>
      </c>
      <c r="BE12" s="215">
        <v>20</v>
      </c>
      <c r="BF12" s="215">
        <v>4</v>
      </c>
      <c r="BG12" s="194">
        <f t="shared" si="1"/>
        <v>240</v>
      </c>
      <c r="BH12" s="194">
        <f t="shared" si="2"/>
        <v>225.99999999999997</v>
      </c>
      <c r="BI12" s="194" t="s">
        <v>240</v>
      </c>
      <c r="BJ12" s="194" t="s">
        <v>107</v>
      </c>
      <c r="BK12" s="38"/>
      <c r="BL12" s="38"/>
      <c r="BM12" s="38"/>
    </row>
    <row r="13" spans="1:65" ht="15" customHeight="1">
      <c r="A13" s="215" t="s">
        <v>704</v>
      </c>
      <c r="B13" s="207" t="s">
        <v>582</v>
      </c>
      <c r="C13" s="152" t="s">
        <v>63</v>
      </c>
      <c r="D13" s="186" t="s">
        <v>85</v>
      </c>
      <c r="E13" s="216" t="s">
        <v>742</v>
      </c>
      <c r="F13" s="187" t="s">
        <v>51</v>
      </c>
      <c r="G13" s="182" t="s">
        <v>741</v>
      </c>
      <c r="H13" s="220"/>
      <c r="I13" s="182"/>
      <c r="J13" s="182"/>
      <c r="K13" s="184"/>
      <c r="L13" s="197"/>
      <c r="M13" s="197"/>
      <c r="N13" s="197"/>
      <c r="O13" s="197"/>
      <c r="P13" s="197"/>
      <c r="Q13" s="197"/>
      <c r="R13" s="197"/>
      <c r="S13" s="197"/>
      <c r="T13" s="217" t="s">
        <v>743</v>
      </c>
      <c r="U13" s="217"/>
      <c r="V13" s="181"/>
      <c r="W13" s="217"/>
      <c r="X13" s="181"/>
      <c r="Y13" s="217"/>
      <c r="Z13" s="181"/>
      <c r="AA13" s="217" t="s">
        <v>744</v>
      </c>
      <c r="AB13" s="217"/>
      <c r="AC13" s="217"/>
      <c r="AD13" s="217"/>
      <c r="AE13" s="217"/>
      <c r="AF13" s="217"/>
      <c r="AG13" s="217"/>
      <c r="AH13" s="217"/>
      <c r="AI13" s="217"/>
      <c r="AJ13" s="217" t="s">
        <v>745</v>
      </c>
      <c r="AK13" s="217" t="s">
        <v>746</v>
      </c>
      <c r="AL13" s="217"/>
      <c r="AM13" s="217" t="s">
        <v>747</v>
      </c>
      <c r="AN13" s="217">
        <v>49017</v>
      </c>
      <c r="AO13" s="180">
        <v>20.96</v>
      </c>
      <c r="AP13" s="175">
        <f t="shared" si="3"/>
        <v>47.207207207207212</v>
      </c>
      <c r="AQ13" s="188" t="s">
        <v>712</v>
      </c>
      <c r="AR13" s="188" t="s">
        <v>713</v>
      </c>
      <c r="AS13" s="212">
        <v>6.9660000000000002</v>
      </c>
      <c r="AT13" s="212">
        <v>6.9660000000000002</v>
      </c>
      <c r="AU13" s="212">
        <v>9.1920000000000002</v>
      </c>
      <c r="AV13" s="191">
        <f>(AU13*AT13*AS13)/1728</f>
        <v>0.25812687150000008</v>
      </c>
      <c r="AW13" s="212">
        <v>0.4</v>
      </c>
      <c r="AX13" s="212">
        <v>22.12</v>
      </c>
      <c r="AY13" s="212">
        <v>10.119999999999999</v>
      </c>
      <c r="AZ13" s="212">
        <v>10.37</v>
      </c>
      <c r="BA13" s="191">
        <f t="shared" si="0"/>
        <v>1.3433854907407408</v>
      </c>
      <c r="BB13" s="212">
        <f>AW13*BD13+0.4</f>
        <v>1.6</v>
      </c>
      <c r="BC13" s="215" t="s">
        <v>68</v>
      </c>
      <c r="BD13" s="215">
        <v>3</v>
      </c>
      <c r="BE13" s="215">
        <v>6</v>
      </c>
      <c r="BF13" s="215">
        <v>4</v>
      </c>
      <c r="BG13" s="194">
        <f t="shared" si="1"/>
        <v>72</v>
      </c>
      <c r="BH13" s="194">
        <f t="shared" si="2"/>
        <v>88.4</v>
      </c>
      <c r="BI13" s="215" t="s">
        <v>312</v>
      </c>
      <c r="BJ13" s="194" t="s">
        <v>107</v>
      </c>
      <c r="BK13" s="38"/>
      <c r="BL13" s="38"/>
      <c r="BM13" s="38"/>
    </row>
    <row r="14" spans="1:65">
      <c r="A14" s="215" t="s">
        <v>708</v>
      </c>
      <c r="B14" s="207" t="s">
        <v>582</v>
      </c>
      <c r="C14" s="152" t="s">
        <v>63</v>
      </c>
      <c r="D14" s="186" t="s">
        <v>85</v>
      </c>
      <c r="E14" s="216" t="s">
        <v>750</v>
      </c>
      <c r="F14" s="187" t="s">
        <v>697</v>
      </c>
      <c r="G14" s="182" t="s">
        <v>749</v>
      </c>
      <c r="H14" s="220"/>
      <c r="I14" s="182"/>
      <c r="J14" s="182"/>
      <c r="K14" s="184"/>
      <c r="L14" s="197"/>
      <c r="M14" s="197"/>
      <c r="N14" s="197"/>
      <c r="O14" s="197"/>
      <c r="P14" s="197"/>
      <c r="Q14" s="197"/>
      <c r="R14" s="197"/>
      <c r="S14" s="197"/>
      <c r="T14" s="217"/>
      <c r="U14" s="217"/>
      <c r="V14" s="181">
        <v>83022</v>
      </c>
      <c r="W14" s="217"/>
      <c r="X14" s="181"/>
      <c r="Y14" s="217"/>
      <c r="Z14" s="181"/>
      <c r="AA14" s="217" t="s">
        <v>734</v>
      </c>
      <c r="AB14" s="217"/>
      <c r="AC14" s="217"/>
      <c r="AD14" s="217" t="s">
        <v>735</v>
      </c>
      <c r="AE14" s="217"/>
      <c r="AF14" s="217"/>
      <c r="AG14" s="217"/>
      <c r="AH14" s="217"/>
      <c r="AI14" s="217"/>
      <c r="AJ14" s="217" t="s">
        <v>736</v>
      </c>
      <c r="AK14" s="217" t="s">
        <v>737</v>
      </c>
      <c r="AL14" s="217" t="s">
        <v>739</v>
      </c>
      <c r="AM14" s="217" t="s">
        <v>740</v>
      </c>
      <c r="AN14" s="217">
        <v>49022</v>
      </c>
      <c r="AO14" s="180">
        <v>12.93</v>
      </c>
      <c r="AP14" s="175">
        <f t="shared" si="3"/>
        <v>29.121621621621621</v>
      </c>
      <c r="AQ14" s="188" t="s">
        <v>709</v>
      </c>
      <c r="AR14" s="188" t="s">
        <v>710</v>
      </c>
      <c r="AS14" s="237">
        <v>7.0359999999999996</v>
      </c>
      <c r="AT14" s="237">
        <v>2.536</v>
      </c>
      <c r="AU14" s="237">
        <v>11.821999999999999</v>
      </c>
      <c r="AV14" s="191">
        <f>(AU14*AT14*AS14)/1728</f>
        <v>0.12207375307407406</v>
      </c>
      <c r="AW14" s="212">
        <v>0.55000000000000004</v>
      </c>
      <c r="AX14" s="212">
        <v>12.25</v>
      </c>
      <c r="AY14" s="212">
        <v>7.5</v>
      </c>
      <c r="AZ14" s="212">
        <v>8.5</v>
      </c>
      <c r="BA14" s="191">
        <f t="shared" si="0"/>
        <v>0.4519314236111111</v>
      </c>
      <c r="BB14" s="237">
        <f>AW14*BD14+0.25</f>
        <v>1.9000000000000001</v>
      </c>
      <c r="BC14" s="193" t="s">
        <v>68</v>
      </c>
      <c r="BD14" s="193">
        <v>3</v>
      </c>
      <c r="BE14" s="193">
        <v>20</v>
      </c>
      <c r="BF14" s="193">
        <v>5</v>
      </c>
      <c r="BG14" s="194">
        <f t="shared" si="1"/>
        <v>300</v>
      </c>
      <c r="BH14" s="194">
        <f t="shared" si="2"/>
        <v>240</v>
      </c>
      <c r="BI14" s="215" t="s">
        <v>711</v>
      </c>
      <c r="BJ14" s="194" t="s">
        <v>107</v>
      </c>
      <c r="BK14" s="38"/>
      <c r="BL14" s="38"/>
      <c r="BM14" s="38"/>
    </row>
    <row r="15" spans="1:65">
      <c r="A15" s="215" t="s">
        <v>714</v>
      </c>
      <c r="B15" s="207" t="s">
        <v>582</v>
      </c>
      <c r="C15" s="152" t="s">
        <v>105</v>
      </c>
      <c r="D15" s="186" t="s">
        <v>748</v>
      </c>
      <c r="E15" s="216" t="s">
        <v>754</v>
      </c>
      <c r="F15" s="187" t="s">
        <v>752</v>
      </c>
      <c r="G15" s="182" t="s">
        <v>751</v>
      </c>
      <c r="H15" s="220" t="s">
        <v>753</v>
      </c>
      <c r="I15" s="182"/>
      <c r="J15" s="182"/>
      <c r="K15" s="184"/>
      <c r="L15" s="197"/>
      <c r="M15" s="197"/>
      <c r="N15" s="197"/>
      <c r="O15" s="197"/>
      <c r="P15" s="197"/>
      <c r="Q15" s="197"/>
      <c r="R15" s="197"/>
      <c r="S15" s="197"/>
      <c r="T15" s="217" t="s">
        <v>755</v>
      </c>
      <c r="U15" s="217"/>
      <c r="V15" s="181"/>
      <c r="W15" s="217"/>
      <c r="X15" s="181"/>
      <c r="Y15" s="217"/>
      <c r="Z15" s="181"/>
      <c r="AA15" s="217" t="s">
        <v>756</v>
      </c>
      <c r="AB15" s="217"/>
      <c r="AC15" s="217"/>
      <c r="AD15" s="217"/>
      <c r="AE15" s="217"/>
      <c r="AF15" s="217"/>
      <c r="AG15" s="217"/>
      <c r="AH15" s="217"/>
      <c r="AI15" s="217"/>
      <c r="AJ15" s="217" t="s">
        <v>757</v>
      </c>
      <c r="AK15" s="217" t="s">
        <v>757</v>
      </c>
      <c r="AL15" s="217" t="s">
        <v>714</v>
      </c>
      <c r="AM15" s="217" t="s">
        <v>758</v>
      </c>
      <c r="AN15" s="217">
        <v>49359</v>
      </c>
      <c r="AO15" s="180">
        <v>40.47</v>
      </c>
      <c r="AP15" s="175">
        <f t="shared" si="3"/>
        <v>91.148648648648646</v>
      </c>
      <c r="AQ15" s="188" t="s">
        <v>718</v>
      </c>
      <c r="AR15" s="188" t="s">
        <v>719</v>
      </c>
      <c r="AS15" s="395" t="s">
        <v>720</v>
      </c>
      <c r="AT15" s="396"/>
      <c r="AU15" s="396"/>
      <c r="AV15" s="396"/>
      <c r="AW15" s="397"/>
      <c r="AX15" s="212">
        <v>11.87</v>
      </c>
      <c r="AY15" s="212">
        <v>9</v>
      </c>
      <c r="AZ15" s="212">
        <v>9</v>
      </c>
      <c r="BA15" s="191">
        <f t="shared" si="0"/>
        <v>0.55640624999999999</v>
      </c>
      <c r="BB15" s="212">
        <v>1.9</v>
      </c>
      <c r="BC15" s="215" t="s">
        <v>68</v>
      </c>
      <c r="BD15" s="215">
        <v>6</v>
      </c>
      <c r="BE15" s="215">
        <v>17</v>
      </c>
      <c r="BF15" s="215">
        <v>5</v>
      </c>
      <c r="BG15" s="194">
        <f t="shared" si="1"/>
        <v>510</v>
      </c>
      <c r="BH15" s="194">
        <f t="shared" si="2"/>
        <v>211.5</v>
      </c>
      <c r="BI15" s="194" t="s">
        <v>240</v>
      </c>
      <c r="BJ15" s="194" t="s">
        <v>107</v>
      </c>
      <c r="BK15" s="38"/>
      <c r="BL15" s="38"/>
      <c r="BM15" s="38"/>
    </row>
    <row r="16" spans="1:65" ht="15" customHeight="1">
      <c r="A16" s="215" t="s">
        <v>715</v>
      </c>
      <c r="B16" s="207" t="s">
        <v>582</v>
      </c>
      <c r="C16" s="152" t="s">
        <v>105</v>
      </c>
      <c r="D16" s="186" t="s">
        <v>748</v>
      </c>
      <c r="E16" s="216" t="s">
        <v>760</v>
      </c>
      <c r="F16" s="187" t="s">
        <v>752</v>
      </c>
      <c r="G16" s="182" t="s">
        <v>759</v>
      </c>
      <c r="H16" s="220"/>
      <c r="I16" s="182"/>
      <c r="J16" s="182"/>
      <c r="K16" s="184"/>
      <c r="L16" s="197"/>
      <c r="M16" s="197"/>
      <c r="N16" s="197"/>
      <c r="O16" s="197"/>
      <c r="P16" s="197"/>
      <c r="Q16" s="197"/>
      <c r="R16" s="197"/>
      <c r="S16" s="197"/>
      <c r="T16" s="217"/>
      <c r="U16" s="217"/>
      <c r="V16" s="181"/>
      <c r="W16" s="217"/>
      <c r="X16" s="181"/>
      <c r="Y16" s="217"/>
      <c r="Z16" s="181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 t="s">
        <v>761</v>
      </c>
      <c r="AK16" s="217" t="s">
        <v>761</v>
      </c>
      <c r="AL16" s="217" t="s">
        <v>715</v>
      </c>
      <c r="AM16" s="217" t="s">
        <v>762</v>
      </c>
      <c r="AN16" s="217">
        <v>24030</v>
      </c>
      <c r="AO16" s="180">
        <v>17.07</v>
      </c>
      <c r="AP16" s="175">
        <f t="shared" si="3"/>
        <v>38.445945945945944</v>
      </c>
      <c r="AQ16" s="188" t="s">
        <v>721</v>
      </c>
      <c r="AR16" s="188" t="s">
        <v>722</v>
      </c>
      <c r="AS16" s="395" t="s">
        <v>720</v>
      </c>
      <c r="AT16" s="396"/>
      <c r="AU16" s="396"/>
      <c r="AV16" s="396"/>
      <c r="AW16" s="397"/>
      <c r="AX16" s="212">
        <v>14.87</v>
      </c>
      <c r="AY16" s="212">
        <v>10</v>
      </c>
      <c r="AZ16" s="212">
        <v>10.5</v>
      </c>
      <c r="BA16" s="191">
        <f t="shared" si="0"/>
        <v>0.90355902777777775</v>
      </c>
      <c r="BB16" s="212">
        <f>0.25*6*0.4</f>
        <v>0.60000000000000009</v>
      </c>
      <c r="BC16" s="215" t="s">
        <v>68</v>
      </c>
      <c r="BD16" s="215">
        <v>6</v>
      </c>
      <c r="BE16" s="215">
        <v>12</v>
      </c>
      <c r="BF16" s="215">
        <v>4</v>
      </c>
      <c r="BG16" s="194">
        <f t="shared" si="1"/>
        <v>288</v>
      </c>
      <c r="BH16" s="194">
        <f t="shared" si="2"/>
        <v>78.800000000000011</v>
      </c>
      <c r="BI16" s="194" t="s">
        <v>240</v>
      </c>
      <c r="BJ16" s="194" t="s">
        <v>107</v>
      </c>
      <c r="BK16" s="38"/>
      <c r="BL16" s="38"/>
      <c r="BM16" s="38"/>
    </row>
    <row r="17" spans="1:65" ht="15" customHeight="1">
      <c r="A17" s="215" t="s">
        <v>716</v>
      </c>
      <c r="B17" s="207" t="s">
        <v>582</v>
      </c>
      <c r="C17" s="152" t="s">
        <v>105</v>
      </c>
      <c r="D17" s="186" t="s">
        <v>748</v>
      </c>
      <c r="E17" s="216" t="s">
        <v>765</v>
      </c>
      <c r="F17" s="187" t="s">
        <v>764</v>
      </c>
      <c r="G17" s="182" t="s">
        <v>763</v>
      </c>
      <c r="H17" s="220"/>
      <c r="I17" s="182"/>
      <c r="J17" s="182"/>
      <c r="K17" s="184"/>
      <c r="L17" s="197"/>
      <c r="M17" s="197"/>
      <c r="N17" s="197"/>
      <c r="O17" s="197"/>
      <c r="P17" s="197"/>
      <c r="Q17" s="197"/>
      <c r="R17" s="197"/>
      <c r="S17" s="197"/>
      <c r="T17" s="217"/>
      <c r="U17" s="217"/>
      <c r="V17" s="181"/>
      <c r="W17" s="217"/>
      <c r="X17" s="181"/>
      <c r="Y17" s="217"/>
      <c r="Z17" s="181"/>
      <c r="AA17" s="217" t="s">
        <v>766</v>
      </c>
      <c r="AB17" s="217"/>
      <c r="AC17" s="217"/>
      <c r="AD17" s="217"/>
      <c r="AE17" s="217"/>
      <c r="AF17" s="217"/>
      <c r="AG17" s="217"/>
      <c r="AH17" s="217"/>
      <c r="AI17" s="217"/>
      <c r="AJ17" s="217" t="s">
        <v>767</v>
      </c>
      <c r="AK17" s="217" t="s">
        <v>767</v>
      </c>
      <c r="AL17" s="217" t="s">
        <v>716</v>
      </c>
      <c r="AM17" s="217" t="s">
        <v>768</v>
      </c>
      <c r="AN17" s="217">
        <v>24148</v>
      </c>
      <c r="AO17" s="180">
        <v>19.91</v>
      </c>
      <c r="AP17" s="175">
        <f t="shared" si="3"/>
        <v>44.842342342342342</v>
      </c>
      <c r="AQ17" s="188" t="s">
        <v>723</v>
      </c>
      <c r="AR17" s="188" t="s">
        <v>724</v>
      </c>
      <c r="AS17" s="395" t="s">
        <v>720</v>
      </c>
      <c r="AT17" s="396"/>
      <c r="AU17" s="396"/>
      <c r="AV17" s="396"/>
      <c r="AW17" s="397"/>
      <c r="AX17" s="212">
        <v>9.75</v>
      </c>
      <c r="AY17" s="212">
        <v>8.18</v>
      </c>
      <c r="AZ17" s="212">
        <v>8.5</v>
      </c>
      <c r="BA17" s="191">
        <f t="shared" si="0"/>
        <v>0.39231336805555556</v>
      </c>
      <c r="BB17" s="212">
        <f>0.11*6+0.4</f>
        <v>1.06</v>
      </c>
      <c r="BC17" s="215" t="s">
        <v>68</v>
      </c>
      <c r="BD17" s="215">
        <v>6</v>
      </c>
      <c r="BE17" s="215">
        <v>20</v>
      </c>
      <c r="BF17" s="215">
        <v>5</v>
      </c>
      <c r="BG17" s="194">
        <f t="shared" si="1"/>
        <v>600</v>
      </c>
      <c r="BH17" s="194">
        <f t="shared" si="2"/>
        <v>156</v>
      </c>
      <c r="BI17" s="194" t="s">
        <v>240</v>
      </c>
      <c r="BJ17" s="194" t="s">
        <v>107</v>
      </c>
      <c r="BK17" s="38"/>
      <c r="BL17" s="38"/>
      <c r="BM17" s="38"/>
    </row>
    <row r="18" spans="1:65">
      <c r="A18" s="215" t="s">
        <v>717</v>
      </c>
      <c r="B18" s="207" t="s">
        <v>582</v>
      </c>
      <c r="C18" s="152" t="s">
        <v>105</v>
      </c>
      <c r="D18" s="186" t="s">
        <v>748</v>
      </c>
      <c r="E18" s="216" t="s">
        <v>770</v>
      </c>
      <c r="F18" s="187" t="s">
        <v>256</v>
      </c>
      <c r="G18" s="182" t="s">
        <v>769</v>
      </c>
      <c r="H18" s="220"/>
      <c r="I18" s="182"/>
      <c r="J18" s="182"/>
      <c r="K18" s="184"/>
      <c r="L18" s="197"/>
      <c r="M18" s="197"/>
      <c r="N18" s="197"/>
      <c r="O18" s="197"/>
      <c r="P18" s="197"/>
      <c r="Q18" s="197"/>
      <c r="R18" s="197"/>
      <c r="S18" s="197"/>
      <c r="T18" s="217" t="s">
        <v>771</v>
      </c>
      <c r="U18" s="217"/>
      <c r="V18" s="181"/>
      <c r="W18" s="217"/>
      <c r="X18" s="181"/>
      <c r="Y18" s="217"/>
      <c r="Z18" s="181"/>
      <c r="AA18" s="217" t="s">
        <v>772</v>
      </c>
      <c r="AB18" s="217"/>
      <c r="AC18" s="217"/>
      <c r="AD18" s="217"/>
      <c r="AE18" s="217"/>
      <c r="AF18" s="217"/>
      <c r="AG18" s="217"/>
      <c r="AH18" s="217"/>
      <c r="AI18" s="217"/>
      <c r="AJ18" s="217" t="s">
        <v>773</v>
      </c>
      <c r="AK18" s="217"/>
      <c r="AL18" s="217"/>
      <c r="AM18" s="217" t="s">
        <v>774</v>
      </c>
      <c r="AN18" s="217"/>
      <c r="AO18" s="180">
        <v>23.5</v>
      </c>
      <c r="AP18" s="175">
        <f t="shared" si="3"/>
        <v>52.927927927927925</v>
      </c>
      <c r="AQ18" s="188" t="s">
        <v>725</v>
      </c>
      <c r="AR18" s="188" t="s">
        <v>726</v>
      </c>
      <c r="AS18" s="395" t="s">
        <v>720</v>
      </c>
      <c r="AT18" s="396"/>
      <c r="AU18" s="396"/>
      <c r="AV18" s="396"/>
      <c r="AW18" s="397"/>
      <c r="AX18" s="212">
        <v>12</v>
      </c>
      <c r="AY18" s="212">
        <v>10.37</v>
      </c>
      <c r="AZ18" s="212">
        <v>10.62</v>
      </c>
      <c r="BA18" s="191">
        <f t="shared" si="0"/>
        <v>0.76478749999999995</v>
      </c>
      <c r="BB18" s="237">
        <v>1.75</v>
      </c>
      <c r="BC18" s="193" t="s">
        <v>68</v>
      </c>
      <c r="BD18" s="193">
        <v>6</v>
      </c>
      <c r="BE18" s="193">
        <v>12</v>
      </c>
      <c r="BF18" s="193">
        <v>4</v>
      </c>
      <c r="BG18" s="194">
        <f t="shared" si="1"/>
        <v>288</v>
      </c>
      <c r="BH18" s="194">
        <f t="shared" si="2"/>
        <v>134</v>
      </c>
      <c r="BI18" s="193" t="s">
        <v>65</v>
      </c>
      <c r="BJ18" s="194" t="s">
        <v>107</v>
      </c>
      <c r="BK18" s="38"/>
      <c r="BL18" s="38"/>
      <c r="BM18" s="38"/>
    </row>
    <row r="19" spans="1:65" ht="15" customHeight="1">
      <c r="A19" s="222"/>
      <c r="B19" s="223"/>
      <c r="D19" s="46"/>
      <c r="F19" s="224"/>
      <c r="G19" s="225"/>
      <c r="H19" s="226"/>
      <c r="I19" s="225"/>
      <c r="J19" s="225"/>
      <c r="K19" s="227"/>
      <c r="L19" s="31"/>
      <c r="M19" s="31"/>
      <c r="N19" s="31"/>
      <c r="O19" s="31"/>
      <c r="P19" s="31"/>
      <c r="Q19" s="31"/>
      <c r="R19" s="31"/>
      <c r="S19" s="31"/>
      <c r="T19" s="228"/>
      <c r="U19" s="228"/>
      <c r="V19" s="229"/>
      <c r="W19" s="228"/>
      <c r="X19" s="229"/>
      <c r="Y19" s="228"/>
      <c r="Z19" s="229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30"/>
      <c r="AP19" s="231"/>
      <c r="AQ19" s="222"/>
      <c r="AR19" s="232"/>
      <c r="AS19" s="233"/>
      <c r="AT19" s="233"/>
      <c r="AU19" s="233"/>
      <c r="AV19" s="233"/>
      <c r="AW19" s="233"/>
      <c r="AX19" s="234"/>
      <c r="AY19" s="234"/>
      <c r="AZ19" s="234"/>
      <c r="BA19" s="235"/>
      <c r="BB19" s="135"/>
      <c r="BC19" s="222"/>
      <c r="BD19" s="222"/>
      <c r="BE19" s="222"/>
      <c r="BF19" s="222"/>
      <c r="BG19" s="236"/>
      <c r="BH19" s="236"/>
      <c r="BI19" s="236"/>
      <c r="BJ19" s="236"/>
      <c r="BK19" s="38"/>
      <c r="BL19" s="38"/>
      <c r="BM19" s="38"/>
    </row>
    <row r="20" spans="1:65" s="146" customFormat="1">
      <c r="A20" s="142"/>
      <c r="B20" s="142"/>
      <c r="C20" s="142"/>
      <c r="D20" s="11"/>
      <c r="E20" s="142"/>
      <c r="F20" s="142"/>
      <c r="G20" s="89"/>
      <c r="H20" s="11"/>
      <c r="I20" s="11"/>
      <c r="J20" s="11"/>
      <c r="T20" s="11"/>
      <c r="Z20" s="11"/>
      <c r="AA20" s="11"/>
      <c r="AO20" s="143"/>
      <c r="AP20" s="144"/>
      <c r="AQ20" s="11"/>
      <c r="AS20" s="86"/>
      <c r="AT20" s="86"/>
      <c r="AU20" s="86"/>
      <c r="AV20" s="11"/>
      <c r="AW20" s="86"/>
      <c r="AX20" s="86"/>
      <c r="AY20" s="86"/>
      <c r="AZ20" s="86"/>
      <c r="BA20" s="11"/>
      <c r="BB20" s="86"/>
      <c r="BC20" s="11"/>
      <c r="BD20" s="11"/>
      <c r="BI20" s="11"/>
      <c r="BJ20" s="89"/>
    </row>
    <row r="21" spans="1:65" ht="7.5" customHeight="1">
      <c r="A21" s="160"/>
      <c r="B21" s="160"/>
      <c r="C21" s="160"/>
      <c r="D21" s="161"/>
      <c r="E21" s="160"/>
      <c r="F21" s="160"/>
      <c r="G21" s="160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1"/>
      <c r="U21" s="162"/>
      <c r="V21" s="162"/>
      <c r="W21" s="162"/>
      <c r="X21" s="162"/>
      <c r="Y21" s="162"/>
      <c r="Z21" s="161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3"/>
      <c r="AP21" s="164"/>
      <c r="AQ21" s="161"/>
      <c r="AR21" s="162"/>
      <c r="AS21" s="165"/>
      <c r="AT21" s="165"/>
      <c r="AU21" s="165"/>
      <c r="AV21" s="161"/>
      <c r="AW21" s="165"/>
      <c r="AX21" s="165"/>
      <c r="AY21" s="165"/>
      <c r="AZ21" s="165"/>
      <c r="BA21" s="161"/>
      <c r="BB21" s="165"/>
      <c r="BC21" s="161"/>
      <c r="BD21" s="161"/>
      <c r="BE21" s="162"/>
      <c r="BF21" s="162"/>
      <c r="BG21" s="162"/>
      <c r="BH21" s="162"/>
      <c r="BI21" s="161"/>
      <c r="BJ21" s="166"/>
      <c r="BK21" s="162"/>
      <c r="BL21" s="146"/>
      <c r="BM21" s="146"/>
    </row>
    <row r="22" spans="1:65" ht="7.5" customHeight="1">
      <c r="A22" s="142"/>
      <c r="B22" s="142"/>
      <c r="C22" s="142"/>
      <c r="E22" s="142"/>
      <c r="F22" s="142"/>
      <c r="G22" s="142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U22" s="146"/>
      <c r="V22" s="146"/>
      <c r="W22" s="146"/>
      <c r="X22" s="146"/>
      <c r="Y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3"/>
      <c r="AP22" s="144"/>
      <c r="AR22" s="146"/>
      <c r="AS22" s="86"/>
      <c r="AT22" s="86"/>
      <c r="AU22" s="86"/>
      <c r="AW22" s="86"/>
      <c r="AX22" s="86"/>
      <c r="AY22" s="86"/>
      <c r="AZ22" s="86"/>
      <c r="BB22" s="86"/>
      <c r="BE22" s="146"/>
      <c r="BF22" s="146"/>
      <c r="BG22" s="146"/>
      <c r="BH22" s="146"/>
      <c r="BJ22" s="89"/>
      <c r="BK22" s="146"/>
      <c r="BL22" s="146"/>
      <c r="BM22" s="146"/>
    </row>
    <row r="23" spans="1:65" ht="23.25">
      <c r="A23" s="142"/>
      <c r="B23" s="142"/>
      <c r="C23" s="142"/>
      <c r="E23" s="159" t="s">
        <v>542</v>
      </c>
      <c r="G23" s="142"/>
      <c r="U23" s="146"/>
      <c r="V23" s="146"/>
      <c r="W23" s="146"/>
      <c r="Y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3"/>
      <c r="AP23" s="144"/>
      <c r="AR23" s="146"/>
      <c r="AS23" s="86"/>
      <c r="AT23" s="86"/>
      <c r="AU23" s="86"/>
      <c r="AW23" s="86"/>
      <c r="AX23" s="86"/>
      <c r="AY23" s="86"/>
      <c r="AZ23" s="86"/>
      <c r="BB23" s="86"/>
      <c r="BE23" s="146"/>
      <c r="BF23" s="146"/>
      <c r="BG23" s="146"/>
      <c r="BH23" s="146"/>
      <c r="BJ23" s="89"/>
      <c r="BK23" s="146"/>
      <c r="BL23" s="146"/>
      <c r="BM23" s="146"/>
    </row>
    <row r="24" spans="1:65" s="146" customFormat="1">
      <c r="A24" s="142"/>
      <c r="B24" s="142"/>
      <c r="C24" s="142"/>
      <c r="D24" s="11"/>
      <c r="E24" s="142"/>
      <c r="F24" s="142"/>
      <c r="G24" s="14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43"/>
      <c r="AP24" s="144"/>
      <c r="AQ24" s="11"/>
      <c r="AR24" s="11"/>
      <c r="AS24" s="86"/>
      <c r="AT24" s="86"/>
      <c r="AU24" s="86"/>
      <c r="AV24" s="11"/>
      <c r="AW24" s="86"/>
      <c r="AX24" s="86"/>
      <c r="AY24" s="86"/>
      <c r="AZ24" s="86"/>
      <c r="BA24" s="11"/>
      <c r="BB24" s="86"/>
      <c r="BC24" s="11"/>
      <c r="BD24" s="11"/>
      <c r="BE24" s="11"/>
      <c r="BF24" s="11"/>
      <c r="BI24" s="11"/>
      <c r="BJ24" s="89"/>
      <c r="BK24" s="11"/>
      <c r="BL24" s="11"/>
      <c r="BM24" s="11"/>
    </row>
    <row r="25" spans="1:65">
      <c r="A25" s="142"/>
      <c r="B25" s="142"/>
      <c r="C25" s="142"/>
      <c r="E25" s="30" t="s">
        <v>543</v>
      </c>
      <c r="F25" s="32" t="s">
        <v>699</v>
      </c>
      <c r="G25" s="32" t="s">
        <v>544</v>
      </c>
      <c r="AO25" s="143"/>
      <c r="AP25" s="144"/>
      <c r="AS25" s="86"/>
      <c r="AT25" s="86"/>
      <c r="AU25" s="86"/>
      <c r="AW25" s="86"/>
      <c r="AX25" s="86"/>
      <c r="AY25" s="86"/>
      <c r="AZ25" s="86"/>
      <c r="BB25" s="86"/>
      <c r="BG25" s="146"/>
      <c r="BH25" s="146"/>
      <c r="BJ25" s="89"/>
    </row>
    <row r="26" spans="1:65">
      <c r="A26" s="154" t="s">
        <v>785</v>
      </c>
      <c r="B26" s="151" t="s">
        <v>582</v>
      </c>
      <c r="C26" s="151" t="s">
        <v>597</v>
      </c>
      <c r="D26" s="152" t="s">
        <v>172</v>
      </c>
      <c r="E26" s="156"/>
      <c r="F26" s="157">
        <v>85.68</v>
      </c>
      <c r="G26" s="153">
        <v>18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U26" s="146"/>
      <c r="V26" s="146"/>
      <c r="W26" s="146"/>
      <c r="X26" s="146"/>
      <c r="Y26" s="146"/>
      <c r="AD26" s="146"/>
      <c r="AE26" s="146"/>
      <c r="AF26" s="146"/>
      <c r="AG26" s="146"/>
      <c r="AH26" s="146"/>
      <c r="AI26" s="146"/>
      <c r="AK26" s="146"/>
      <c r="AL26" s="146"/>
      <c r="AM26" s="146"/>
      <c r="AN26" s="146"/>
      <c r="AO26" s="143"/>
      <c r="AP26" s="144"/>
      <c r="AR26" s="146"/>
      <c r="AS26" s="86"/>
      <c r="AT26" s="86"/>
      <c r="AU26" s="86"/>
      <c r="AW26" s="86"/>
      <c r="AX26" s="86"/>
      <c r="AY26" s="86"/>
      <c r="AZ26" s="86"/>
      <c r="BB26" s="86"/>
      <c r="BE26" s="146"/>
      <c r="BF26" s="146"/>
      <c r="BG26" s="146"/>
      <c r="BH26" s="146"/>
      <c r="BJ26" s="89"/>
      <c r="BK26" s="146"/>
      <c r="BL26" s="146"/>
      <c r="BM26" s="146"/>
    </row>
    <row r="27" spans="1:65">
      <c r="A27" s="142"/>
      <c r="B27" s="142"/>
      <c r="C27" s="142"/>
      <c r="E27" s="142"/>
      <c r="F27" s="142"/>
      <c r="G27" s="142"/>
      <c r="AP27" s="144"/>
      <c r="AQ27" s="146"/>
      <c r="BH27" s="146"/>
      <c r="BJ27" s="89"/>
    </row>
    <row r="28" spans="1:65" ht="7.5" customHeight="1">
      <c r="A28" s="160"/>
      <c r="B28" s="160"/>
      <c r="C28" s="160"/>
      <c r="D28" s="161"/>
      <c r="E28" s="160"/>
      <c r="F28" s="160"/>
      <c r="G28" s="160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U28" s="146"/>
      <c r="V28" s="146"/>
      <c r="W28" s="146"/>
      <c r="X28" s="146"/>
      <c r="Y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3"/>
      <c r="AP28" s="144"/>
      <c r="AR28" s="146"/>
      <c r="AS28" s="86"/>
      <c r="AT28" s="86"/>
      <c r="AU28" s="86"/>
      <c r="AW28" s="86"/>
      <c r="AX28" s="86"/>
      <c r="AY28" s="86"/>
      <c r="AZ28" s="86"/>
      <c r="BB28" s="86"/>
      <c r="BE28" s="146"/>
      <c r="BF28" s="146"/>
      <c r="BG28" s="146"/>
      <c r="BH28" s="146"/>
      <c r="BJ28" s="89"/>
      <c r="BK28" s="146"/>
      <c r="BL28" s="146"/>
      <c r="BM28" s="146"/>
    </row>
    <row r="29" spans="1:65" ht="7.5" customHeight="1">
      <c r="A29" s="142"/>
      <c r="B29" s="142"/>
      <c r="C29" s="142"/>
      <c r="E29" s="142"/>
      <c r="F29" s="142"/>
      <c r="G29" s="142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U29" s="146"/>
      <c r="V29" s="146"/>
      <c r="W29" s="146"/>
      <c r="X29" s="146"/>
      <c r="Y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3"/>
      <c r="AP29" s="144"/>
      <c r="AR29" s="146"/>
      <c r="AS29" s="86"/>
      <c r="AT29" s="86"/>
      <c r="AU29" s="86"/>
      <c r="AW29" s="86"/>
      <c r="AX29" s="86"/>
      <c r="AY29" s="86"/>
      <c r="AZ29" s="86"/>
      <c r="BB29" s="86"/>
      <c r="BE29" s="146"/>
      <c r="BF29" s="146"/>
      <c r="BG29" s="146"/>
      <c r="BH29" s="146"/>
      <c r="BJ29" s="89"/>
      <c r="BK29" s="146"/>
      <c r="BL29" s="146"/>
      <c r="BM29" s="146"/>
    </row>
    <row r="30" spans="1:65" ht="23.25">
      <c r="A30" s="142"/>
      <c r="B30" s="142"/>
      <c r="C30" s="142"/>
      <c r="E30" s="173" t="s">
        <v>548</v>
      </c>
      <c r="G30" s="142"/>
      <c r="AP30" s="144"/>
      <c r="AQ30" s="146"/>
      <c r="BH30" s="146"/>
      <c r="BJ30" s="89"/>
    </row>
    <row r="31" spans="1:65" ht="16.5" customHeight="1">
      <c r="A31" s="142"/>
      <c r="B31" s="142"/>
      <c r="C31" s="142"/>
      <c r="E31" s="142"/>
      <c r="F31" s="158"/>
      <c r="G31" s="142"/>
      <c r="AP31" s="144"/>
      <c r="AQ31" s="146"/>
      <c r="BH31" s="146"/>
      <c r="BJ31" s="89"/>
    </row>
    <row r="32" spans="1:65" s="136" customFormat="1">
      <c r="A32" s="11"/>
      <c r="B32" s="11"/>
      <c r="C32" s="11"/>
      <c r="D32" s="11"/>
      <c r="E32" s="30" t="s">
        <v>546</v>
      </c>
      <c r="F32" s="171" t="s">
        <v>547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43"/>
      <c r="AP32" s="144"/>
      <c r="AQ32" s="146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46"/>
      <c r="BI32" s="11"/>
      <c r="BJ32" s="11"/>
      <c r="BK32" s="11"/>
      <c r="BL32" s="11"/>
      <c r="BM32" s="11"/>
    </row>
    <row r="33" spans="1:65">
      <c r="A33" s="155"/>
      <c r="B33" s="152"/>
      <c r="C33" s="152"/>
      <c r="D33" s="152"/>
      <c r="E33" s="167"/>
      <c r="F33" s="172"/>
      <c r="G33" s="170"/>
      <c r="AO33" s="143"/>
      <c r="AP33" s="144"/>
      <c r="AQ33" s="146"/>
      <c r="BH33" s="146"/>
    </row>
    <row r="34" spans="1:65">
      <c r="A34" s="168"/>
      <c r="B34" s="152"/>
      <c r="C34" s="152"/>
      <c r="D34" s="152"/>
      <c r="E34" s="167"/>
      <c r="F34" s="169"/>
      <c r="G34" s="170"/>
      <c r="AO34" s="143"/>
      <c r="AP34" s="144"/>
      <c r="AQ34" s="146"/>
      <c r="BH34" s="146"/>
    </row>
    <row r="35" spans="1:65">
      <c r="A35" s="168"/>
      <c r="B35" s="152"/>
      <c r="C35" s="152"/>
      <c r="D35" s="152"/>
      <c r="E35" s="167"/>
      <c r="F35" s="169"/>
      <c r="G35" s="170"/>
      <c r="U35" s="146"/>
      <c r="V35" s="146"/>
      <c r="W35" s="146"/>
      <c r="Y35" s="146"/>
      <c r="AA35" s="146"/>
      <c r="AB35" s="146"/>
      <c r="AD35" s="146"/>
      <c r="AE35" s="146"/>
      <c r="AG35" s="146"/>
      <c r="AH35" s="146"/>
      <c r="AI35" s="146"/>
      <c r="AJ35" s="146"/>
      <c r="AK35" s="146"/>
      <c r="AL35" s="146"/>
      <c r="AM35" s="146"/>
      <c r="AN35" s="146"/>
      <c r="AO35" s="143"/>
      <c r="AP35" s="144"/>
      <c r="AQ35" s="146"/>
      <c r="AR35" s="146"/>
      <c r="AT35" s="146"/>
      <c r="AU35" s="146"/>
      <c r="AV35" s="146"/>
      <c r="AW35" s="146"/>
      <c r="AX35" s="146"/>
      <c r="AY35" s="146"/>
      <c r="AZ35" s="146"/>
      <c r="BA35" s="146"/>
      <c r="BB35" s="146"/>
      <c r="BD35" s="146"/>
      <c r="BE35" s="146"/>
      <c r="BF35" s="146"/>
      <c r="BG35" s="146"/>
      <c r="BH35" s="146"/>
      <c r="BI35" s="146"/>
      <c r="BJ35" s="89"/>
      <c r="BK35" s="146"/>
      <c r="BL35" s="146"/>
      <c r="BM35" s="146"/>
    </row>
    <row r="36" spans="1:65" s="136" customFormat="1">
      <c r="A36" s="155"/>
      <c r="B36" s="152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5" s="136" customFormat="1">
      <c r="A37" s="155"/>
      <c r="B37" s="151"/>
      <c r="C37" s="152"/>
      <c r="D37" s="152"/>
      <c r="E37" s="167"/>
      <c r="F37" s="172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5" s="136" customFormat="1">
      <c r="A38" s="155"/>
      <c r="B38" s="152"/>
      <c r="C38" s="152"/>
      <c r="D38" s="152"/>
      <c r="E38" s="167"/>
      <c r="F38" s="172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1:65" s="136" customFormat="1">
      <c r="A39" s="155"/>
      <c r="B39" s="152"/>
      <c r="C39" s="152"/>
      <c r="D39" s="152"/>
      <c r="E39" s="167"/>
      <c r="F39" s="172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1:65" s="136" customFormat="1">
      <c r="A40" s="168"/>
      <c r="B40" s="152"/>
      <c r="C40" s="152"/>
      <c r="D40" s="152"/>
      <c r="E40" s="167"/>
      <c r="F40" s="169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1:65" s="136" customFormat="1">
      <c r="A41" s="168"/>
      <c r="B41" s="152"/>
      <c r="C41" s="152"/>
      <c r="D41" s="152"/>
      <c r="E41" s="167"/>
      <c r="F41" s="169"/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1:65" s="136" customFormat="1">
      <c r="A42" s="168"/>
      <c r="B42" s="152"/>
      <c r="C42" s="152"/>
      <c r="D42" s="152"/>
      <c r="E42" s="167"/>
      <c r="F42" s="169"/>
      <c r="G42" s="17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s="136" customFormat="1">
      <c r="A43" s="168"/>
      <c r="B43" s="152"/>
      <c r="C43" s="152"/>
      <c r="D43" s="152"/>
      <c r="E43" s="167"/>
      <c r="F43" s="169"/>
      <c r="G43" s="17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s="136" customFormat="1">
      <c r="A44" s="155"/>
      <c r="B44" s="152"/>
      <c r="C44" s="152"/>
      <c r="D44" s="152"/>
      <c r="E44" s="167"/>
      <c r="F44" s="172"/>
      <c r="G44" s="17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1:65" s="136" customFormat="1">
      <c r="A45" s="155"/>
      <c r="B45" s="152"/>
      <c r="C45" s="152"/>
      <c r="D45" s="152"/>
      <c r="E45" s="167"/>
      <c r="F45" s="172"/>
      <c r="G45" s="17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1:65" s="136" customFormat="1">
      <c r="A46" s="155"/>
      <c r="B46" s="152"/>
      <c r="C46" s="152"/>
      <c r="D46" s="152"/>
      <c r="E46" s="167"/>
      <c r="F46" s="172"/>
      <c r="G46" s="17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s="136" customFormat="1">
      <c r="A47" s="155"/>
      <c r="B47" s="152"/>
      <c r="C47" s="152"/>
      <c r="D47" s="152"/>
      <c r="E47" s="167"/>
      <c r="F47" s="172"/>
      <c r="G47" s="17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1:65" s="136" customFormat="1">
      <c r="A48" s="168"/>
      <c r="B48" s="152"/>
      <c r="C48" s="152"/>
      <c r="D48" s="152"/>
      <c r="E48" s="167"/>
      <c r="F48" s="169"/>
      <c r="G48" s="17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s="136" customFormat="1">
      <c r="A49" s="168"/>
      <c r="B49" s="152"/>
      <c r="C49" s="152"/>
      <c r="D49" s="152"/>
      <c r="E49" s="167"/>
      <c r="F49" s="169"/>
      <c r="G49" s="17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1:65" s="136" customFormat="1">
      <c r="A50" s="155"/>
      <c r="B50" s="151"/>
      <c r="C50" s="152"/>
      <c r="D50" s="152"/>
      <c r="E50" s="167"/>
      <c r="F50" s="172"/>
      <c r="G50" s="17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65" s="136" customFormat="1">
      <c r="A51" s="155"/>
      <c r="B51" s="151"/>
      <c r="C51" s="152"/>
      <c r="D51" s="152"/>
      <c r="E51" s="167"/>
      <c r="F51" s="172"/>
      <c r="G51" s="17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s="136" customFormat="1">
      <c r="A52" s="146"/>
      <c r="B52" s="146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1:65" s="136" customFormat="1">
      <c r="A53" s="146"/>
      <c r="B53" s="146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1:65" s="136" customFormat="1">
      <c r="A54" s="146"/>
      <c r="B54" s="146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s="136" customFormat="1">
      <c r="A55" s="146"/>
      <c r="B55" s="146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136" customFormat="1">
      <c r="A56" s="146"/>
      <c r="B56" s="146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136" customFormat="1">
      <c r="A57" s="146"/>
      <c r="B57" s="146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1:65" s="136" customFormat="1">
      <c r="A58" s="146"/>
      <c r="B58" s="146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1:65" s="136" customFormat="1">
      <c r="A59" s="146"/>
      <c r="B59" s="146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1:65" s="136" customFormat="1">
      <c r="A60" s="146"/>
      <c r="B60" s="146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1:65" s="136" customFormat="1">
      <c r="A61" s="146"/>
      <c r="B61" s="146"/>
      <c r="C61" s="11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1:65" s="136" customFormat="1">
      <c r="A62" s="146"/>
      <c r="B62" s="146"/>
      <c r="C62" s="11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1:65" s="136" customFormat="1">
      <c r="A63" s="146"/>
      <c r="B63" s="146"/>
      <c r="C63" s="11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1:65" s="136" customFormat="1">
      <c r="A64" s="146"/>
      <c r="B64" s="146"/>
      <c r="C64" s="11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1:65" s="136" customFormat="1">
      <c r="A65" s="146"/>
      <c r="B65" s="146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1:65" s="136" customFormat="1">
      <c r="A66" s="146"/>
      <c r="B66" s="146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1:65" s="136" customFormat="1">
      <c r="A67" s="146"/>
      <c r="B67" s="146"/>
      <c r="C67" s="11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1:65" s="136" customFormat="1">
      <c r="A68" s="146"/>
      <c r="B68" s="146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1:65" s="136" customFormat="1">
      <c r="A69" s="146"/>
      <c r="B69" s="146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136" customFormat="1">
      <c r="A70" s="146"/>
      <c r="B70" s="146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136" customFormat="1">
      <c r="A71" s="146"/>
      <c r="B71" s="146"/>
      <c r="C71" s="11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136" customFormat="1">
      <c r="A72" s="146"/>
      <c r="B72" s="146"/>
      <c r="C72" s="11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136" customFormat="1">
      <c r="A73" s="146"/>
      <c r="B73" s="146"/>
      <c r="C73" s="11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36" customFormat="1">
      <c r="A74" s="146"/>
      <c r="B74" s="146"/>
      <c r="C74" s="11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136" customFormat="1">
      <c r="A75" s="146"/>
      <c r="B75" s="146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136" customFormat="1">
      <c r="A76" s="146"/>
      <c r="B76" s="146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136" customFormat="1">
      <c r="A77" s="146"/>
      <c r="B77" s="146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s="136" customFormat="1">
      <c r="A78" s="146"/>
      <c r="B78" s="146"/>
      <c r="C78" s="11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s="136" customFormat="1">
      <c r="A79" s="146"/>
      <c r="B79" s="146"/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136" customFormat="1">
      <c r="A80" s="146"/>
      <c r="B80" s="146"/>
      <c r="C80" s="11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136" customFormat="1">
      <c r="A81" s="146"/>
      <c r="B81" s="146"/>
      <c r="C81" s="11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136" customFormat="1">
      <c r="A82" s="146"/>
      <c r="B82" s="146"/>
      <c r="C82" s="11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136" customFormat="1">
      <c r="A83" s="146"/>
      <c r="B83" s="146"/>
      <c r="C83" s="11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s="136" customFormat="1">
      <c r="A84" s="146"/>
      <c r="B84" s="146"/>
      <c r="C84" s="11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s="136" customFormat="1">
      <c r="A85" s="146"/>
      <c r="B85" s="146"/>
      <c r="C85" s="11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s="136" customFormat="1">
      <c r="A86" s="146"/>
      <c r="B86" s="146"/>
      <c r="C86" s="11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1:65" s="136" customFormat="1">
      <c r="A87" s="146"/>
      <c r="B87" s="146"/>
      <c r="C87" s="11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s="136" customFormat="1">
      <c r="A88" s="146"/>
      <c r="B88" s="146"/>
      <c r="C88" s="11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1:65" s="136" customFormat="1">
      <c r="A89" s="146"/>
      <c r="B89" s="146"/>
      <c r="C89" s="11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1:65" s="136" customFormat="1">
      <c r="A90" s="146"/>
      <c r="B90" s="146"/>
      <c r="C90" s="11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1:65" s="136" customFormat="1">
      <c r="A91" s="146"/>
      <c r="B91" s="146"/>
      <c r="C91" s="11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5" s="136" customFormat="1">
      <c r="A92" s="146"/>
      <c r="B92" s="146"/>
      <c r="C92" s="11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1:65" s="136" customFormat="1">
      <c r="A93" s="146"/>
      <c r="B93" s="146"/>
      <c r="C93" s="11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1:65" s="136" customFormat="1">
      <c r="A94" s="146"/>
      <c r="B94" s="146"/>
      <c r="C94" s="11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1:65" s="136" customFormat="1">
      <c r="A95" s="146"/>
      <c r="B95" s="146"/>
      <c r="C95" s="11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5" s="136" customFormat="1">
      <c r="A96" s="146"/>
      <c r="B96" s="146"/>
      <c r="C96" s="11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1:65" s="136" customFormat="1">
      <c r="A97" s="146"/>
      <c r="B97" s="146"/>
      <c r="C97" s="11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1:65" s="136" customFormat="1">
      <c r="A98" s="146"/>
      <c r="B98" s="146"/>
      <c r="C98" s="11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s="136" customFormat="1">
      <c r="A99" s="146"/>
      <c r="B99" s="146"/>
      <c r="C99" s="11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1:65" s="136" customFormat="1">
      <c r="A100" s="146"/>
      <c r="B100" s="146"/>
      <c r="C100" s="11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1:65" s="136" customFormat="1">
      <c r="A101" s="146"/>
      <c r="B101" s="146"/>
      <c r="C101" s="11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1:65" s="136" customFormat="1">
      <c r="A102" s="146"/>
      <c r="B102" s="146"/>
      <c r="C102" s="11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1:65" s="136" customFormat="1">
      <c r="A103" s="146"/>
      <c r="B103" s="146"/>
      <c r="C103" s="11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1:65" s="136" customFormat="1">
      <c r="A104" s="146"/>
      <c r="B104" s="146"/>
      <c r="C104" s="11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1:65" s="136" customFormat="1">
      <c r="A105" s="146"/>
      <c r="B105" s="146"/>
      <c r="C105" s="11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1:65" s="136" customFormat="1">
      <c r="A106" s="146"/>
      <c r="B106" s="146"/>
      <c r="C106" s="11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1:65" s="136" customFormat="1">
      <c r="A107" s="146"/>
      <c r="B107" s="146"/>
      <c r="C107" s="11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1:65" s="136" customFormat="1">
      <c r="A108" s="146"/>
      <c r="B108" s="146"/>
      <c r="C108" s="11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65" s="136" customFormat="1">
      <c r="A109" s="146"/>
      <c r="B109" s="146"/>
      <c r="C109" s="11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1:65" s="136" customFormat="1">
      <c r="A110" s="146"/>
      <c r="B110" s="146"/>
      <c r="C110" s="11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1:65" s="136" customFormat="1">
      <c r="A111" s="146"/>
      <c r="B111" s="146"/>
      <c r="C111" s="11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1:65" s="136" customFormat="1">
      <c r="A112" s="146"/>
      <c r="B112" s="146"/>
      <c r="C112" s="11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1:65" s="136" customFormat="1">
      <c r="A113" s="146"/>
      <c r="B113" s="146"/>
      <c r="C113" s="11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1:65" s="136" customFormat="1">
      <c r="A114" s="146"/>
      <c r="B114" s="146"/>
      <c r="C114" s="11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1:65" s="136" customFormat="1">
      <c r="A115" s="146"/>
      <c r="B115" s="146"/>
      <c r="C115" s="11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1:65" s="136" customFormat="1">
      <c r="A116" s="146"/>
      <c r="B116" s="146"/>
      <c r="C116" s="11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1:65" s="136" customFormat="1">
      <c r="A117" s="146"/>
      <c r="B117" s="146"/>
      <c r="C117" s="11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1:65" s="136" customFormat="1">
      <c r="A118" s="146"/>
      <c r="B118" s="146"/>
      <c r="C118" s="11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1:65" s="136" customFormat="1">
      <c r="A119" s="146"/>
      <c r="B119" s="146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1:65" s="136" customFormat="1">
      <c r="A120" s="146"/>
      <c r="B120" s="146"/>
      <c r="C120" s="11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1:65" s="136" customFormat="1">
      <c r="A121" s="146"/>
      <c r="B121" s="146"/>
      <c r="C121" s="11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1:65" s="136" customFormat="1">
      <c r="A122" s="146"/>
      <c r="B122" s="146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1:65" s="136" customFormat="1">
      <c r="A123" s="146"/>
      <c r="B123" s="146"/>
      <c r="C123" s="11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1:65" s="136" customFormat="1">
      <c r="A124" s="146"/>
      <c r="B124" s="146"/>
      <c r="C124" s="11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1:65" s="136" customFormat="1">
      <c r="A125" s="146"/>
      <c r="B125" s="146"/>
      <c r="C125" s="11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1:65" s="136" customFormat="1">
      <c r="A126" s="146"/>
      <c r="B126" s="146"/>
      <c r="C126" s="11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1:65" s="136" customFormat="1">
      <c r="A127" s="146"/>
      <c r="B127" s="146"/>
      <c r="C127" s="11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1:65" s="136" customFormat="1">
      <c r="A128" s="146"/>
      <c r="B128" s="146"/>
      <c r="C128" s="11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1:65" s="136" customFormat="1">
      <c r="A129" s="146"/>
      <c r="B129" s="146"/>
      <c r="C129" s="11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1:65" s="136" customFormat="1">
      <c r="A130" s="146"/>
      <c r="B130" s="146"/>
      <c r="C130" s="11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1:65" s="136" customFormat="1">
      <c r="A131" s="146"/>
      <c r="B131" s="146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1:65" s="136" customFormat="1">
      <c r="A132" s="146"/>
      <c r="B132" s="146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1:65" s="136" customFormat="1">
      <c r="A133" s="146"/>
      <c r="B133" s="146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1:65" s="136" customFormat="1">
      <c r="A134" s="146"/>
      <c r="B134" s="146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1:65" s="136" customFormat="1">
      <c r="A135" s="146"/>
      <c r="B135" s="146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1:65" s="136" customFormat="1">
      <c r="A136" s="146"/>
      <c r="B136" s="146"/>
      <c r="C136" s="11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1:65" s="136" customFormat="1">
      <c r="A137" s="146"/>
      <c r="B137" s="146"/>
      <c r="C137" s="11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1:65" s="136" customFormat="1">
      <c r="A138" s="146"/>
      <c r="B138" s="146"/>
      <c r="C138" s="11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1:65" s="136" customFormat="1">
      <c r="A139" s="146"/>
      <c r="B139" s="146"/>
      <c r="C139" s="11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1:65" s="136" customFormat="1">
      <c r="A140" s="146"/>
      <c r="B140" s="146"/>
      <c r="C140" s="11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1:65" s="136" customFormat="1">
      <c r="A141" s="146"/>
      <c r="B141" s="146"/>
      <c r="C141" s="11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1:65" s="136" customFormat="1">
      <c r="A142" s="146"/>
      <c r="B142" s="146"/>
      <c r="C142" s="11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1:65" s="136" customFormat="1">
      <c r="A143" s="146"/>
      <c r="B143" s="146"/>
      <c r="C143" s="11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1:65" s="136" customFormat="1">
      <c r="A144" s="146"/>
      <c r="B144" s="146"/>
      <c r="C144" s="11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1:65" s="136" customFormat="1">
      <c r="A145" s="146"/>
      <c r="B145" s="146"/>
      <c r="C145" s="11"/>
      <c r="D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1:65" s="136" customFormat="1">
      <c r="A146" s="146"/>
      <c r="B146" s="146"/>
      <c r="C146" s="11"/>
      <c r="D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1:65" s="136" customFormat="1">
      <c r="A147" s="146"/>
      <c r="B147" s="146"/>
      <c r="C147" s="11"/>
      <c r="D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1:65" s="136" customFormat="1">
      <c r="A148" s="146"/>
      <c r="B148" s="146"/>
      <c r="C148" s="11"/>
      <c r="D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1:65" s="136" customFormat="1">
      <c r="A149" s="146"/>
      <c r="B149" s="146"/>
      <c r="C149" s="11"/>
      <c r="D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1:65" s="136" customFormat="1">
      <c r="A150" s="146"/>
      <c r="B150" s="146"/>
      <c r="C150" s="11"/>
      <c r="D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1:65" s="136" customFormat="1">
      <c r="A151" s="146"/>
      <c r="B151" s="146"/>
      <c r="C151" s="11"/>
      <c r="D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1:65" s="136" customFormat="1">
      <c r="A152" s="146"/>
      <c r="B152" s="146"/>
      <c r="C152" s="11"/>
      <c r="D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1:65" s="136" customFormat="1">
      <c r="A153" s="146"/>
      <c r="B153" s="146"/>
      <c r="C153" s="11"/>
      <c r="D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1:65" s="136" customFormat="1">
      <c r="A154" s="146"/>
      <c r="B154" s="146"/>
      <c r="C154" s="11"/>
      <c r="D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</sheetData>
  <mergeCells count="12">
    <mergeCell ref="AS18:AW18"/>
    <mergeCell ref="AQ4:AR4"/>
    <mergeCell ref="AS4:AW4"/>
    <mergeCell ref="AX4:BB4"/>
    <mergeCell ref="BC4:BJ4"/>
    <mergeCell ref="AS6:AW6"/>
    <mergeCell ref="AS7:AW7"/>
    <mergeCell ref="AS8:AW8"/>
    <mergeCell ref="AS9:AW9"/>
    <mergeCell ref="AS15:AW15"/>
    <mergeCell ref="AS16:AW16"/>
    <mergeCell ref="AS17:AW17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BL143"/>
  <sheetViews>
    <sheetView zoomScaleNormal="100" workbookViewId="0">
      <pane xSplit="3" ySplit="5" topLeftCell="D6" activePane="bottomRight" state="frozen"/>
      <selection activeCell="B24" sqref="B24"/>
      <selection pane="topRight" activeCell="B24" sqref="B24"/>
      <selection pane="bottomLeft" activeCell="B24" sqref="B24"/>
      <selection pane="bottomRight" activeCell="D6" sqref="D6"/>
    </sheetView>
  </sheetViews>
  <sheetFormatPr defaultRowHeight="15"/>
  <cols>
    <col min="1" max="1" width="12.28515625" style="146" bestFit="1" customWidth="1"/>
    <col min="2" max="2" width="3.5703125" style="146" bestFit="1" customWidth="1"/>
    <col min="3" max="3" width="26.28515625" style="11" bestFit="1" customWidth="1"/>
    <col min="4" max="4" width="11.140625" style="11" bestFit="1" customWidth="1"/>
    <col min="5" max="5" width="53.85546875" style="136" bestFit="1" customWidth="1"/>
    <col min="6" max="6" width="22.7109375" style="11" customWidth="1"/>
    <col min="7" max="7" width="11.5703125" style="11" bestFit="1" customWidth="1"/>
    <col min="8" max="8" width="14.7109375" style="11" customWidth="1"/>
    <col min="9" max="9" width="10.7109375" style="11" bestFit="1" customWidth="1"/>
    <col min="10" max="10" width="13.42578125" style="11" bestFit="1" customWidth="1"/>
    <col min="11" max="11" width="13.140625" style="11" customWidth="1"/>
    <col min="12" max="12" width="13.42578125" style="11" bestFit="1" customWidth="1"/>
    <col min="13" max="13" width="13.28515625" style="11" customWidth="1"/>
    <col min="14" max="14" width="13.42578125" style="11" bestFit="1" customWidth="1"/>
    <col min="15" max="15" width="10.7109375" style="11" bestFit="1" customWidth="1"/>
    <col min="16" max="16" width="13.42578125" style="11" bestFit="1" customWidth="1"/>
    <col min="17" max="17" width="9.7109375" style="11" bestFit="1" customWidth="1"/>
    <col min="18" max="18" width="13.140625" style="11" customWidth="1"/>
    <col min="19" max="19" width="12.140625" style="11" customWidth="1"/>
    <col min="20" max="20" width="10" style="11" bestFit="1" customWidth="1"/>
    <col min="21" max="21" width="6.140625" style="11" bestFit="1" customWidth="1"/>
    <col min="22" max="22" width="8.85546875" style="11" bestFit="1" customWidth="1"/>
    <col min="23" max="23" width="7.140625" style="11" bestFit="1" customWidth="1"/>
    <col min="24" max="24" width="11.28515625" style="11" customWidth="1"/>
    <col min="25" max="25" width="9.42578125" style="11" bestFit="1" customWidth="1"/>
    <col min="26" max="26" width="10.5703125" style="11" bestFit="1" customWidth="1"/>
    <col min="27" max="27" width="7.140625" style="11" bestFit="1" customWidth="1"/>
    <col min="28" max="28" width="8.42578125" style="11" bestFit="1" customWidth="1"/>
    <col min="29" max="29" width="7.140625" style="11" bestFit="1" customWidth="1"/>
    <col min="30" max="30" width="5.140625" style="11" bestFit="1" customWidth="1"/>
    <col min="31" max="31" width="10.28515625" style="11" bestFit="1" customWidth="1"/>
    <col min="32" max="32" width="15.5703125" style="11" bestFit="1" customWidth="1"/>
    <col min="33" max="33" width="7.7109375" style="11" bestFit="1" customWidth="1"/>
    <col min="34" max="34" width="10.5703125" style="11" bestFit="1" customWidth="1"/>
    <col min="35" max="35" width="6.140625" style="11" bestFit="1" customWidth="1"/>
    <col min="36" max="36" width="9.28515625" style="11" bestFit="1" customWidth="1"/>
    <col min="37" max="37" width="14.140625" style="11" customWidth="1"/>
    <col min="38" max="38" width="8" style="11" bestFit="1" customWidth="1"/>
    <col min="39" max="39" width="6.5703125" style="11" bestFit="1" customWidth="1"/>
    <col min="40" max="40" width="8" style="11" bestFit="1" customWidth="1"/>
    <col min="41" max="41" width="8.28515625" style="11" bestFit="1" customWidth="1"/>
    <col min="42" max="42" width="14.85546875" style="11" customWidth="1"/>
    <col min="43" max="43" width="17.140625" style="11" customWidth="1"/>
    <col min="44" max="44" width="7" style="11" bestFit="1" customWidth="1"/>
    <col min="45" max="45" width="22" style="11" bestFit="1" customWidth="1"/>
    <col min="46" max="46" width="6.85546875" style="11" bestFit="1" customWidth="1"/>
    <col min="47" max="47" width="5.5703125" style="11" bestFit="1" customWidth="1"/>
    <col min="48" max="48" width="7.5703125" style="11" bestFit="1" customWidth="1"/>
    <col min="49" max="49" width="7" style="11" bestFit="1" customWidth="1"/>
    <col min="50" max="50" width="20.140625" style="11" bestFit="1" customWidth="1"/>
    <col min="51" max="51" width="6.85546875" style="11" bestFit="1" customWidth="1"/>
    <col min="52" max="52" width="5.5703125" style="11" bestFit="1" customWidth="1"/>
    <col min="53" max="53" width="7.5703125" style="11" bestFit="1" customWidth="1"/>
    <col min="54" max="54" width="17.85546875" style="11" customWidth="1"/>
    <col min="55" max="55" width="10.42578125" style="11" bestFit="1" customWidth="1"/>
    <col min="56" max="56" width="12" style="11" bestFit="1" customWidth="1"/>
    <col min="57" max="58" width="14.42578125" style="11" bestFit="1" customWidth="1"/>
    <col min="59" max="59" width="13.28515625" style="11" bestFit="1" customWidth="1"/>
    <col min="60" max="60" width="16.28515625" style="11" bestFit="1" customWidth="1"/>
    <col min="61" max="61" width="22.28515625" style="11" customWidth="1"/>
    <col min="62" max="62" width="12.140625" style="11" bestFit="1" customWidth="1"/>
    <col min="63" max="63" width="15.42578125" style="11" hidden="1" customWidth="1"/>
    <col min="64" max="64" width="12.42578125" style="11" hidden="1" customWidth="1"/>
    <col min="65" max="16384" width="9.140625" style="11"/>
  </cols>
  <sheetData>
    <row r="2" spans="1:64" ht="23.25">
      <c r="F2" s="9" t="s">
        <v>578</v>
      </c>
      <c r="G2" s="9"/>
      <c r="H2" s="10"/>
    </row>
    <row r="4" spans="1:64" ht="15.75">
      <c r="C4" s="137" t="s">
        <v>17</v>
      </c>
      <c r="D4" s="137"/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X4" s="18" t="s">
        <v>16</v>
      </c>
      <c r="Y4" s="18"/>
      <c r="Z4" s="17"/>
      <c r="AA4" s="17"/>
      <c r="AB4" s="19"/>
      <c r="AC4" s="19"/>
      <c r="AD4" s="19"/>
      <c r="AE4" s="19"/>
      <c r="AF4" s="19"/>
      <c r="AG4" s="19"/>
      <c r="AH4" s="19"/>
      <c r="AI4" s="19"/>
      <c r="AN4" s="138"/>
      <c r="AP4" s="20" t="s">
        <v>19</v>
      </c>
      <c r="AQ4" s="21"/>
      <c r="AR4" s="23"/>
      <c r="AS4" s="24" t="s">
        <v>22</v>
      </c>
      <c r="AT4" s="7"/>
      <c r="AU4" s="23"/>
      <c r="AV4" s="23"/>
      <c r="AW4" s="23"/>
      <c r="AX4" s="25" t="s">
        <v>28</v>
      </c>
      <c r="AY4" s="7"/>
      <c r="AZ4" s="23"/>
      <c r="BA4" s="23"/>
      <c r="BB4" s="23"/>
      <c r="BC4" s="26"/>
      <c r="BD4" s="26"/>
      <c r="BE4" s="26" t="s">
        <v>34</v>
      </c>
      <c r="BF4" s="26"/>
      <c r="BG4" s="26"/>
      <c r="BH4" s="26"/>
      <c r="BI4" s="26"/>
    </row>
    <row r="5" spans="1:64" ht="30">
      <c r="A5" s="139" t="s">
        <v>0</v>
      </c>
      <c r="B5" s="150" t="s">
        <v>541</v>
      </c>
      <c r="C5" s="139" t="s">
        <v>2</v>
      </c>
      <c r="D5" s="30" t="s">
        <v>56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39</v>
      </c>
      <c r="AL5" s="32" t="s">
        <v>40</v>
      </c>
      <c r="AM5" s="32" t="s">
        <v>13</v>
      </c>
      <c r="AN5" s="140" t="s">
        <v>20</v>
      </c>
      <c r="AO5" s="141" t="s">
        <v>21</v>
      </c>
      <c r="AP5" s="33" t="s">
        <v>18</v>
      </c>
      <c r="AQ5" s="33" t="s">
        <v>55</v>
      </c>
      <c r="AR5" s="35" t="s">
        <v>23</v>
      </c>
      <c r="AS5" s="35" t="s">
        <v>24</v>
      </c>
      <c r="AT5" s="35" t="s">
        <v>25</v>
      </c>
      <c r="AU5" s="35" t="s">
        <v>26</v>
      </c>
      <c r="AV5" s="35" t="s">
        <v>27</v>
      </c>
      <c r="AW5" s="36" t="s">
        <v>23</v>
      </c>
      <c r="AX5" s="36" t="s">
        <v>24</v>
      </c>
      <c r="AY5" s="36" t="s">
        <v>25</v>
      </c>
      <c r="AZ5" s="36" t="s">
        <v>26</v>
      </c>
      <c r="BA5" s="36" t="s">
        <v>27</v>
      </c>
      <c r="BB5" s="37" t="s">
        <v>45</v>
      </c>
      <c r="BC5" s="38" t="s">
        <v>29</v>
      </c>
      <c r="BD5" s="38" t="s">
        <v>30</v>
      </c>
      <c r="BE5" s="38" t="s">
        <v>31</v>
      </c>
      <c r="BF5" s="38" t="s">
        <v>32</v>
      </c>
      <c r="BG5" s="38" t="s">
        <v>33</v>
      </c>
      <c r="BH5" s="38" t="s">
        <v>35</v>
      </c>
      <c r="BI5" s="38" t="s">
        <v>44</v>
      </c>
      <c r="BJ5" s="38" t="s">
        <v>41</v>
      </c>
      <c r="BK5" s="38" t="s">
        <v>42</v>
      </c>
      <c r="BL5" s="38" t="s">
        <v>43</v>
      </c>
    </row>
    <row r="6" spans="1:64" ht="30">
      <c r="A6" s="210" t="s">
        <v>568</v>
      </c>
      <c r="B6" s="196" t="s">
        <v>541</v>
      </c>
      <c r="C6" s="174" t="s">
        <v>342</v>
      </c>
      <c r="D6" s="186" t="s">
        <v>569</v>
      </c>
      <c r="E6" s="200" t="s">
        <v>649</v>
      </c>
      <c r="F6" s="187" t="s">
        <v>570</v>
      </c>
      <c r="G6" s="182" t="s">
        <v>571</v>
      </c>
      <c r="H6" s="182" t="s">
        <v>572</v>
      </c>
      <c r="I6" s="182">
        <v>28040481</v>
      </c>
      <c r="J6" s="182" t="s">
        <v>650</v>
      </c>
      <c r="K6" s="184" t="s">
        <v>651</v>
      </c>
      <c r="L6" s="197"/>
      <c r="M6" s="197"/>
      <c r="N6" s="197"/>
      <c r="O6" s="197"/>
      <c r="P6" s="197"/>
      <c r="Q6" s="197"/>
      <c r="R6" s="197"/>
      <c r="S6" s="197"/>
      <c r="T6" s="198"/>
      <c r="U6" s="198"/>
      <c r="V6" s="198"/>
      <c r="W6" s="198"/>
      <c r="X6" s="181" t="s">
        <v>652</v>
      </c>
      <c r="Y6" s="198"/>
      <c r="Z6" s="181" t="s">
        <v>574</v>
      </c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80">
        <v>12.68</v>
      </c>
      <c r="AO6" s="175">
        <f>AN6/0.444</f>
        <v>28.558558558558559</v>
      </c>
      <c r="AP6" s="188">
        <v>38568737922</v>
      </c>
      <c r="AQ6" s="189">
        <v>10038568737929</v>
      </c>
      <c r="AR6" s="405" t="s">
        <v>573</v>
      </c>
      <c r="AS6" s="405"/>
      <c r="AT6" s="405"/>
      <c r="AU6" s="405"/>
      <c r="AV6" s="405"/>
      <c r="AW6" s="190">
        <v>15.81</v>
      </c>
      <c r="AX6" s="190">
        <v>11.93</v>
      </c>
      <c r="AY6" s="190">
        <v>29.5</v>
      </c>
      <c r="AZ6" s="191">
        <f>(AY6*AX6*AW6)/1728</f>
        <v>3.2199608506944446</v>
      </c>
      <c r="BA6" s="192">
        <f>1.2*12+0.4</f>
        <v>14.799999999999999</v>
      </c>
      <c r="BB6" s="193" t="s">
        <v>224</v>
      </c>
      <c r="BC6" s="193">
        <v>12</v>
      </c>
      <c r="BD6" s="193">
        <v>10</v>
      </c>
      <c r="BE6" s="193">
        <v>7</v>
      </c>
      <c r="BF6" s="194">
        <f>BC6*BD6*BE6</f>
        <v>840</v>
      </c>
      <c r="BG6" s="194">
        <f>(BA6*BD6*BE6)+50</f>
        <v>1086</v>
      </c>
      <c r="BH6" s="194" t="s">
        <v>65</v>
      </c>
      <c r="BI6" s="194" t="s">
        <v>107</v>
      </c>
      <c r="BJ6" s="199">
        <v>73</v>
      </c>
      <c r="BK6" s="38"/>
      <c r="BL6" s="38"/>
    </row>
    <row r="7" spans="1:64" s="4" customFormat="1" ht="90">
      <c r="A7" s="177" t="s">
        <v>549</v>
      </c>
      <c r="B7" s="177" t="s">
        <v>541</v>
      </c>
      <c r="C7" s="214" t="s">
        <v>567</v>
      </c>
      <c r="D7" s="176" t="s">
        <v>85</v>
      </c>
      <c r="E7" s="178" t="s">
        <v>550</v>
      </c>
      <c r="F7" s="179" t="s">
        <v>445</v>
      </c>
      <c r="G7" s="181" t="s">
        <v>556</v>
      </c>
      <c r="H7" s="182" t="s">
        <v>94</v>
      </c>
      <c r="I7" s="181" t="s">
        <v>557</v>
      </c>
      <c r="J7" s="182" t="s">
        <v>456</v>
      </c>
      <c r="K7" s="183" t="s">
        <v>558</v>
      </c>
      <c r="L7" s="182" t="s">
        <v>560</v>
      </c>
      <c r="M7" s="183" t="s">
        <v>559</v>
      </c>
      <c r="N7" s="182" t="s">
        <v>335</v>
      </c>
      <c r="O7" s="181" t="s">
        <v>561</v>
      </c>
      <c r="P7" s="184" t="s">
        <v>564</v>
      </c>
      <c r="Q7" s="185" t="s">
        <v>563</v>
      </c>
      <c r="R7" s="184" t="s">
        <v>198</v>
      </c>
      <c r="S7" s="183" t="s">
        <v>566</v>
      </c>
      <c r="T7" s="176" t="s">
        <v>551</v>
      </c>
      <c r="U7" s="176"/>
      <c r="V7" s="181" t="s">
        <v>552</v>
      </c>
      <c r="W7" s="176"/>
      <c r="X7" s="181" t="s">
        <v>553</v>
      </c>
      <c r="Y7" s="176"/>
      <c r="Z7" s="181" t="s">
        <v>554</v>
      </c>
      <c r="AA7" s="176"/>
      <c r="AB7" s="176"/>
      <c r="AC7" s="181" t="s">
        <v>555</v>
      </c>
      <c r="AD7" s="176"/>
      <c r="AE7" s="176"/>
      <c r="AF7" s="176"/>
      <c r="AG7" s="176"/>
      <c r="AH7" s="176"/>
      <c r="AI7" s="176">
        <v>9978</v>
      </c>
      <c r="AJ7" s="179"/>
      <c r="AK7" s="179"/>
      <c r="AL7" s="179"/>
      <c r="AM7" s="181" t="s">
        <v>562</v>
      </c>
      <c r="AN7" s="180">
        <v>30.47</v>
      </c>
      <c r="AO7" s="175">
        <f>AN7/0.444</f>
        <v>68.626126126126124</v>
      </c>
      <c r="AP7" s="188" t="s">
        <v>575</v>
      </c>
      <c r="AQ7" s="189">
        <v>100038568737899</v>
      </c>
      <c r="AR7" s="406" t="s">
        <v>576</v>
      </c>
      <c r="AS7" s="406"/>
      <c r="AT7" s="406"/>
      <c r="AU7" s="406"/>
      <c r="AV7" s="406"/>
      <c r="AW7" s="190">
        <v>5.2359999999999998</v>
      </c>
      <c r="AX7" s="190">
        <v>5.2359999999999998</v>
      </c>
      <c r="AY7" s="190">
        <v>10.590999999999999</v>
      </c>
      <c r="AZ7" s="195">
        <f>(AY7*AX7*AW7)/1728</f>
        <v>0.16803219695370367</v>
      </c>
      <c r="BA7" s="192">
        <f>1.1+0.25</f>
        <v>1.35</v>
      </c>
      <c r="BB7" s="193" t="s">
        <v>68</v>
      </c>
      <c r="BC7" s="193">
        <v>1</v>
      </c>
      <c r="BD7" s="193">
        <v>56</v>
      </c>
      <c r="BE7" s="193">
        <v>4</v>
      </c>
      <c r="BF7" s="194">
        <f>BC7*BD7*BE7</f>
        <v>224</v>
      </c>
      <c r="BG7" s="194">
        <f>(BA7*BF7)+50</f>
        <v>352.40000000000003</v>
      </c>
      <c r="BH7" s="194" t="s">
        <v>577</v>
      </c>
      <c r="BI7" s="194" t="s">
        <v>107</v>
      </c>
      <c r="BJ7" s="174">
        <v>73</v>
      </c>
    </row>
    <row r="8" spans="1:64" s="146" customFormat="1">
      <c r="A8" s="142"/>
      <c r="B8" s="142"/>
      <c r="C8" s="142"/>
      <c r="D8" s="11"/>
      <c r="E8" s="142"/>
      <c r="F8" s="142"/>
      <c r="G8" s="89"/>
      <c r="H8" s="11"/>
      <c r="I8" s="11"/>
      <c r="J8" s="11"/>
      <c r="T8" s="11"/>
      <c r="Z8" s="11"/>
      <c r="AA8" s="11"/>
      <c r="AN8" s="143"/>
      <c r="AO8" s="144"/>
      <c r="AP8" s="11"/>
      <c r="AR8" s="86"/>
      <c r="AS8" s="86"/>
      <c r="AT8" s="86"/>
      <c r="AU8" s="11"/>
      <c r="AV8" s="86"/>
      <c r="AW8" s="86"/>
      <c r="AX8" s="86"/>
      <c r="AY8" s="86"/>
      <c r="AZ8" s="11"/>
      <c r="BA8" s="86"/>
      <c r="BB8" s="11"/>
      <c r="BC8" s="11"/>
      <c r="BH8" s="11"/>
      <c r="BI8" s="89"/>
    </row>
    <row r="9" spans="1:64" ht="7.5" customHeight="1">
      <c r="A9" s="160"/>
      <c r="B9" s="160"/>
      <c r="C9" s="160"/>
      <c r="D9" s="161"/>
      <c r="E9" s="160"/>
      <c r="F9" s="160"/>
      <c r="G9" s="160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1"/>
      <c r="U9" s="162"/>
      <c r="V9" s="162"/>
      <c r="W9" s="162"/>
      <c r="X9" s="162"/>
      <c r="Y9" s="162"/>
      <c r="Z9" s="161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64"/>
      <c r="AP9" s="161"/>
      <c r="AQ9" s="162"/>
      <c r="AR9" s="165"/>
      <c r="AS9" s="165"/>
      <c r="AT9" s="165"/>
      <c r="AU9" s="161"/>
      <c r="AV9" s="165"/>
      <c r="AW9" s="165"/>
      <c r="AX9" s="165"/>
      <c r="AY9" s="165"/>
      <c r="AZ9" s="161"/>
      <c r="BA9" s="165"/>
      <c r="BB9" s="161"/>
      <c r="BC9" s="161"/>
      <c r="BD9" s="162"/>
      <c r="BE9" s="162"/>
      <c r="BF9" s="162"/>
      <c r="BG9" s="162"/>
      <c r="BH9" s="161"/>
      <c r="BI9" s="166"/>
      <c r="BJ9" s="162"/>
      <c r="BK9" s="146"/>
      <c r="BL9" s="146"/>
    </row>
    <row r="10" spans="1:64" ht="7.5" customHeight="1">
      <c r="A10" s="142"/>
      <c r="B10" s="142"/>
      <c r="C10" s="142"/>
      <c r="E10" s="142"/>
      <c r="F10" s="142"/>
      <c r="G10" s="142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U10" s="146"/>
      <c r="V10" s="146"/>
      <c r="W10" s="146"/>
      <c r="X10" s="146"/>
      <c r="Y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3"/>
      <c r="AO10" s="144"/>
      <c r="AQ10" s="146"/>
      <c r="AR10" s="86"/>
      <c r="AS10" s="86"/>
      <c r="AT10" s="86"/>
      <c r="AV10" s="86"/>
      <c r="AW10" s="86"/>
      <c r="AX10" s="86"/>
      <c r="AY10" s="86"/>
      <c r="BA10" s="86"/>
      <c r="BD10" s="146"/>
      <c r="BE10" s="146"/>
      <c r="BF10" s="146"/>
      <c r="BG10" s="146"/>
      <c r="BI10" s="89"/>
      <c r="BJ10" s="146"/>
      <c r="BK10" s="146"/>
      <c r="BL10" s="146"/>
    </row>
    <row r="11" spans="1:64" ht="23.25">
      <c r="A11" s="142"/>
      <c r="B11" s="142"/>
      <c r="C11" s="142"/>
      <c r="E11" s="142"/>
      <c r="F11" s="159" t="s">
        <v>542</v>
      </c>
      <c r="G11" s="142"/>
      <c r="U11" s="146"/>
      <c r="V11" s="146"/>
      <c r="W11" s="146"/>
      <c r="Y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3"/>
      <c r="AO11" s="144"/>
      <c r="AQ11" s="146"/>
      <c r="AR11" s="86"/>
      <c r="AS11" s="86"/>
      <c r="AT11" s="86"/>
      <c r="AV11" s="86"/>
      <c r="AW11" s="86"/>
      <c r="AX11" s="86"/>
      <c r="AY11" s="86"/>
      <c r="BA11" s="86"/>
      <c r="BD11" s="146"/>
      <c r="BE11" s="146"/>
      <c r="BF11" s="146"/>
      <c r="BG11" s="146"/>
      <c r="BI11" s="89"/>
      <c r="BJ11" s="146"/>
      <c r="BK11" s="146"/>
      <c r="BL11" s="146"/>
    </row>
    <row r="12" spans="1:64" s="146" customFormat="1">
      <c r="A12" s="142"/>
      <c r="B12" s="142"/>
      <c r="C12" s="142"/>
      <c r="D12" s="11"/>
      <c r="E12" s="142"/>
      <c r="F12" s="142"/>
      <c r="G12" s="14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43"/>
      <c r="AO12" s="144"/>
      <c r="AP12" s="11"/>
      <c r="AQ12" s="11"/>
      <c r="AR12" s="86"/>
      <c r="AS12" s="86"/>
      <c r="AT12" s="86"/>
      <c r="AU12" s="11"/>
      <c r="AV12" s="86"/>
      <c r="AW12" s="86"/>
      <c r="AX12" s="86"/>
      <c r="AY12" s="86"/>
      <c r="AZ12" s="11"/>
      <c r="BA12" s="86"/>
      <c r="BB12" s="11"/>
      <c r="BC12" s="11"/>
      <c r="BD12" s="11"/>
      <c r="BE12" s="11"/>
      <c r="BH12" s="11"/>
      <c r="BI12" s="89"/>
      <c r="BJ12" s="11"/>
      <c r="BK12" s="11"/>
      <c r="BL12" s="11"/>
    </row>
    <row r="13" spans="1:64">
      <c r="A13" s="142"/>
      <c r="B13" s="142"/>
      <c r="C13" s="142"/>
      <c r="E13" s="30" t="s">
        <v>543</v>
      </c>
      <c r="F13" s="32" t="s">
        <v>545</v>
      </c>
      <c r="G13" s="32" t="s">
        <v>544</v>
      </c>
      <c r="AN13" s="143"/>
      <c r="AO13" s="144"/>
      <c r="AR13" s="86"/>
      <c r="AS13" s="86"/>
      <c r="AT13" s="86"/>
      <c r="AV13" s="86"/>
      <c r="AW13" s="86"/>
      <c r="AX13" s="86"/>
      <c r="AY13" s="86"/>
      <c r="BA13" s="86"/>
      <c r="BF13" s="146"/>
      <c r="BG13" s="146"/>
      <c r="BI13" s="89"/>
    </row>
    <row r="14" spans="1:64">
      <c r="A14" s="154"/>
      <c r="B14" s="151"/>
      <c r="C14" s="151"/>
      <c r="D14" s="152"/>
      <c r="E14" s="156"/>
      <c r="F14" s="157"/>
      <c r="G14" s="153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U14" s="146"/>
      <c r="W14" s="146"/>
      <c r="X14" s="146"/>
      <c r="Y14" s="146"/>
      <c r="AA14" s="146"/>
      <c r="AB14" s="146"/>
      <c r="AC14" s="146"/>
      <c r="AD14" s="146"/>
      <c r="AE14" s="146"/>
      <c r="AF14" s="146"/>
      <c r="AG14" s="146"/>
      <c r="AH14" s="146"/>
      <c r="AJ14" s="146"/>
      <c r="AK14" s="146"/>
      <c r="AL14" s="146"/>
      <c r="AN14" s="143"/>
      <c r="AO14" s="144"/>
      <c r="AQ14" s="146"/>
      <c r="AR14" s="86"/>
      <c r="AS14" s="86"/>
      <c r="AT14" s="86"/>
      <c r="AV14" s="86"/>
      <c r="AW14" s="86"/>
      <c r="AX14" s="86"/>
      <c r="AY14" s="86"/>
      <c r="BA14" s="86"/>
      <c r="BD14" s="146"/>
      <c r="BE14" s="146"/>
      <c r="BF14" s="146"/>
      <c r="BG14" s="146"/>
      <c r="BI14" s="89"/>
      <c r="BJ14" s="146"/>
      <c r="BK14" s="146"/>
      <c r="BL14" s="146"/>
    </row>
    <row r="15" spans="1:64">
      <c r="A15" s="154"/>
      <c r="B15" s="151"/>
      <c r="C15" s="151"/>
      <c r="D15" s="152"/>
      <c r="E15" s="156"/>
      <c r="F15" s="157"/>
      <c r="G15" s="153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U15" s="146"/>
      <c r="V15" s="146"/>
      <c r="W15" s="146"/>
      <c r="X15" s="146"/>
      <c r="Y15" s="146"/>
      <c r="AD15" s="146"/>
      <c r="AE15" s="146"/>
      <c r="AF15" s="146"/>
      <c r="AG15" s="146"/>
      <c r="AH15" s="146"/>
      <c r="AI15" s="146"/>
      <c r="AK15" s="146"/>
      <c r="AL15" s="146"/>
      <c r="AM15" s="146"/>
      <c r="AN15" s="143"/>
      <c r="AO15" s="144"/>
      <c r="AQ15" s="146"/>
      <c r="AR15" s="86"/>
      <c r="AS15" s="86"/>
      <c r="AT15" s="86"/>
      <c r="AV15" s="86"/>
      <c r="AW15" s="86"/>
      <c r="AX15" s="86"/>
      <c r="AY15" s="86"/>
      <c r="BA15" s="86"/>
      <c r="BD15" s="146"/>
      <c r="BE15" s="146"/>
      <c r="BF15" s="146"/>
      <c r="BG15" s="146"/>
      <c r="BI15" s="89"/>
      <c r="BJ15" s="146"/>
      <c r="BK15" s="146"/>
      <c r="BL15" s="146"/>
    </row>
    <row r="16" spans="1:64">
      <c r="A16" s="142"/>
      <c r="B16" s="142"/>
      <c r="C16" s="142"/>
      <c r="E16" s="142"/>
      <c r="F16" s="142"/>
      <c r="G16" s="142"/>
      <c r="AO16" s="144"/>
      <c r="AP16" s="146"/>
      <c r="BG16" s="146"/>
      <c r="BI16" s="89"/>
    </row>
    <row r="17" spans="1:64" ht="7.5" customHeight="1">
      <c r="A17" s="160"/>
      <c r="B17" s="160"/>
      <c r="C17" s="160"/>
      <c r="D17" s="161"/>
      <c r="E17" s="160"/>
      <c r="F17" s="160"/>
      <c r="G17" s="160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U17" s="146"/>
      <c r="V17" s="146"/>
      <c r="W17" s="146"/>
      <c r="X17" s="146"/>
      <c r="Y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3"/>
      <c r="AO17" s="144"/>
      <c r="AQ17" s="146"/>
      <c r="AR17" s="86"/>
      <c r="AS17" s="86"/>
      <c r="AT17" s="86"/>
      <c r="AV17" s="86"/>
      <c r="AW17" s="86"/>
      <c r="AX17" s="86"/>
      <c r="AY17" s="86"/>
      <c r="BA17" s="86"/>
      <c r="BD17" s="146"/>
      <c r="BE17" s="146"/>
      <c r="BF17" s="146"/>
      <c r="BG17" s="146"/>
      <c r="BI17" s="89"/>
      <c r="BJ17" s="146"/>
      <c r="BK17" s="146"/>
      <c r="BL17" s="146"/>
    </row>
    <row r="18" spans="1:64" ht="7.5" customHeight="1">
      <c r="A18" s="142"/>
      <c r="B18" s="142"/>
      <c r="C18" s="142"/>
      <c r="E18" s="142"/>
      <c r="F18" s="142"/>
      <c r="G18" s="142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U18" s="146"/>
      <c r="V18" s="146"/>
      <c r="W18" s="146"/>
      <c r="X18" s="146"/>
      <c r="Y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3"/>
      <c r="AO18" s="144"/>
      <c r="AQ18" s="146"/>
      <c r="AR18" s="86"/>
      <c r="AS18" s="86"/>
      <c r="AT18" s="86"/>
      <c r="AV18" s="86"/>
      <c r="AW18" s="86"/>
      <c r="AX18" s="86"/>
      <c r="AY18" s="86"/>
      <c r="BA18" s="86"/>
      <c r="BD18" s="146"/>
      <c r="BE18" s="146"/>
      <c r="BF18" s="146"/>
      <c r="BG18" s="146"/>
      <c r="BI18" s="89"/>
      <c r="BJ18" s="146"/>
      <c r="BK18" s="146"/>
      <c r="BL18" s="146"/>
    </row>
    <row r="19" spans="1:64" ht="23.25">
      <c r="A19" s="142"/>
      <c r="B19" s="142"/>
      <c r="C19" s="142"/>
      <c r="E19" s="142"/>
      <c r="F19" s="173" t="s">
        <v>548</v>
      </c>
      <c r="G19" s="142"/>
      <c r="AO19" s="144"/>
      <c r="AP19" s="146"/>
      <c r="BG19" s="146"/>
      <c r="BI19" s="89"/>
    </row>
    <row r="20" spans="1:64" ht="16.5" customHeight="1">
      <c r="A20" s="142"/>
      <c r="B20" s="142"/>
      <c r="C20" s="142"/>
      <c r="E20" s="142"/>
      <c r="F20" s="158"/>
      <c r="G20" s="142"/>
      <c r="AO20" s="144"/>
      <c r="AP20" s="146"/>
      <c r="BG20" s="146"/>
      <c r="BI20" s="89"/>
    </row>
    <row r="21" spans="1:64" s="136" customFormat="1">
      <c r="A21" s="11"/>
      <c r="B21" s="11"/>
      <c r="C21" s="11"/>
      <c r="D21" s="11"/>
      <c r="E21" s="30" t="s">
        <v>546</v>
      </c>
      <c r="F21" s="171" t="s">
        <v>547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43"/>
      <c r="AO21" s="144"/>
      <c r="AP21" s="146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46"/>
      <c r="BH21" s="11"/>
      <c r="BI21" s="11"/>
      <c r="BJ21" s="11"/>
      <c r="BK21" s="11"/>
      <c r="BL21" s="11"/>
    </row>
    <row r="22" spans="1:64">
      <c r="A22" s="155"/>
      <c r="B22" s="152"/>
      <c r="C22" s="152"/>
      <c r="D22" s="152"/>
      <c r="E22" s="167"/>
      <c r="F22" s="172"/>
      <c r="G22" s="170"/>
      <c r="AN22" s="143"/>
      <c r="AO22" s="144"/>
      <c r="AP22" s="146"/>
      <c r="BG22" s="146"/>
    </row>
    <row r="23" spans="1:64">
      <c r="A23" s="168"/>
      <c r="B23" s="152"/>
      <c r="C23" s="152"/>
      <c r="D23" s="152"/>
      <c r="E23" s="167"/>
      <c r="F23" s="169"/>
      <c r="G23" s="170"/>
      <c r="AN23" s="143"/>
      <c r="AO23" s="144"/>
      <c r="AP23" s="146"/>
      <c r="BG23" s="146"/>
    </row>
    <row r="24" spans="1:64">
      <c r="A24" s="168"/>
      <c r="B24" s="152"/>
      <c r="C24" s="152"/>
      <c r="D24" s="152"/>
      <c r="E24" s="167"/>
      <c r="F24" s="169"/>
      <c r="G24" s="170"/>
      <c r="U24" s="146"/>
      <c r="V24" s="146"/>
      <c r="W24" s="146"/>
      <c r="Y24" s="146"/>
      <c r="AA24" s="146"/>
      <c r="AB24" s="146"/>
      <c r="AD24" s="146"/>
      <c r="AE24" s="146"/>
      <c r="AG24" s="146"/>
      <c r="AH24" s="146"/>
      <c r="AI24" s="146"/>
      <c r="AJ24" s="146"/>
      <c r="AK24" s="146"/>
      <c r="AL24" s="146"/>
      <c r="AM24" s="146"/>
      <c r="AN24" s="143"/>
      <c r="AO24" s="144"/>
      <c r="AP24" s="146"/>
      <c r="AQ24" s="146"/>
      <c r="AS24" s="146"/>
      <c r="AT24" s="146"/>
      <c r="AU24" s="146"/>
      <c r="AV24" s="146"/>
      <c r="AW24" s="146"/>
      <c r="AX24" s="146"/>
      <c r="AY24" s="146"/>
      <c r="AZ24" s="146"/>
      <c r="BA24" s="146"/>
      <c r="BC24" s="146"/>
      <c r="BD24" s="146"/>
      <c r="BE24" s="146"/>
      <c r="BF24" s="146"/>
      <c r="BG24" s="146"/>
      <c r="BH24" s="146"/>
      <c r="BI24" s="89"/>
      <c r="BJ24" s="146"/>
      <c r="BK24" s="146"/>
      <c r="BL24" s="146"/>
    </row>
    <row r="25" spans="1:64" s="136" customFormat="1">
      <c r="A25" s="155"/>
      <c r="B25" s="152"/>
      <c r="C25" s="152"/>
      <c r="D25" s="152"/>
      <c r="E25" s="167"/>
      <c r="F25" s="172"/>
      <c r="G25" s="17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s="136" customFormat="1">
      <c r="A26" s="155"/>
      <c r="B26" s="151"/>
      <c r="C26" s="152"/>
      <c r="D26" s="152"/>
      <c r="E26" s="167"/>
      <c r="F26" s="172"/>
      <c r="G26" s="17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s="136" customFormat="1">
      <c r="A27" s="155"/>
      <c r="B27" s="152"/>
      <c r="C27" s="152"/>
      <c r="D27" s="152"/>
      <c r="E27" s="167"/>
      <c r="F27" s="172"/>
      <c r="G27" s="17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s="136" customFormat="1">
      <c r="A28" s="155"/>
      <c r="B28" s="152"/>
      <c r="C28" s="152"/>
      <c r="D28" s="152"/>
      <c r="E28" s="167"/>
      <c r="F28" s="172"/>
      <c r="G28" s="17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s="136" customFormat="1">
      <c r="A29" s="168"/>
      <c r="B29" s="152"/>
      <c r="C29" s="152"/>
      <c r="D29" s="152"/>
      <c r="E29" s="167"/>
      <c r="F29" s="169"/>
      <c r="G29" s="17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s="136" customFormat="1">
      <c r="A30" s="168"/>
      <c r="B30" s="152"/>
      <c r="C30" s="152"/>
      <c r="D30" s="152"/>
      <c r="E30" s="167"/>
      <c r="F30" s="169"/>
      <c r="G30" s="17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s="136" customFormat="1">
      <c r="A31" s="168"/>
      <c r="B31" s="152"/>
      <c r="C31" s="152"/>
      <c r="D31" s="152"/>
      <c r="E31" s="167"/>
      <c r="F31" s="169"/>
      <c r="G31" s="17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136" customFormat="1">
      <c r="A32" s="168"/>
      <c r="B32" s="152"/>
      <c r="C32" s="152"/>
      <c r="D32" s="152"/>
      <c r="E32" s="167"/>
      <c r="F32" s="169"/>
      <c r="G32" s="17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s="136" customFormat="1">
      <c r="A33" s="155"/>
      <c r="B33" s="152"/>
      <c r="C33" s="152"/>
      <c r="D33" s="152"/>
      <c r="E33" s="167"/>
      <c r="F33" s="172"/>
      <c r="G33" s="17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s="136" customFormat="1">
      <c r="A34" s="155"/>
      <c r="B34" s="152"/>
      <c r="C34" s="152"/>
      <c r="D34" s="152"/>
      <c r="E34" s="167"/>
      <c r="F34" s="172"/>
      <c r="G34" s="17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s="136" customFormat="1">
      <c r="A35" s="155"/>
      <c r="B35" s="152"/>
      <c r="C35" s="152"/>
      <c r="D35" s="152"/>
      <c r="E35" s="167"/>
      <c r="F35" s="172"/>
      <c r="G35" s="17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s="136" customFormat="1">
      <c r="A36" s="155"/>
      <c r="B36" s="152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s="136" customFormat="1">
      <c r="A37" s="168"/>
      <c r="B37" s="152"/>
      <c r="C37" s="152"/>
      <c r="D37" s="152"/>
      <c r="E37" s="167"/>
      <c r="F37" s="169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s="136" customFormat="1">
      <c r="A38" s="168"/>
      <c r="B38" s="152"/>
      <c r="C38" s="152"/>
      <c r="D38" s="152"/>
      <c r="E38" s="167"/>
      <c r="F38" s="169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s="136" customFormat="1">
      <c r="A39" s="155"/>
      <c r="B39" s="151"/>
      <c r="C39" s="152"/>
      <c r="D39" s="152"/>
      <c r="E39" s="167"/>
      <c r="F39" s="172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s="136" customFormat="1">
      <c r="A40" s="155"/>
      <c r="B40" s="151"/>
      <c r="C40" s="152"/>
      <c r="D40" s="152"/>
      <c r="E40" s="167"/>
      <c r="F40" s="172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s="136" customFormat="1">
      <c r="A41" s="146"/>
      <c r="B41" s="146"/>
      <c r="C41" s="11"/>
      <c r="D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s="136" customFormat="1">
      <c r="A42" s="146"/>
      <c r="B42" s="146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s="136" customFormat="1">
      <c r="A43" s="146"/>
      <c r="B43" s="146"/>
      <c r="C43" s="11"/>
      <c r="D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s="136" customFormat="1">
      <c r="A44" s="146"/>
      <c r="B44" s="146"/>
      <c r="C44" s="11"/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s="136" customFormat="1">
      <c r="A45" s="146"/>
      <c r="B45" s="146"/>
      <c r="C45" s="11"/>
      <c r="D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s="136" customFormat="1">
      <c r="A46" s="146"/>
      <c r="B46" s="146"/>
      <c r="C46" s="11"/>
      <c r="D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64" s="136" customFormat="1">
      <c r="A47" s="146"/>
      <c r="B47" s="146"/>
      <c r="C47" s="11"/>
      <c r="D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s="136" customFormat="1">
      <c r="A48" s="146"/>
      <c r="B48" s="146"/>
      <c r="C48" s="11"/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s="136" customFormat="1">
      <c r="A49" s="146"/>
      <c r="B49" s="146"/>
      <c r="C49" s="11"/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s="136" customFormat="1">
      <c r="A50" s="146"/>
      <c r="B50" s="146"/>
      <c r="C50" s="11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s="136" customFormat="1">
      <c r="A51" s="146"/>
      <c r="B51" s="146"/>
      <c r="C51" s="11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s="136" customFormat="1">
      <c r="A52" s="146"/>
      <c r="B52" s="146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s="136" customFormat="1">
      <c r="A53" s="146"/>
      <c r="B53" s="146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64" s="136" customFormat="1">
      <c r="A54" s="146"/>
      <c r="B54" s="146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1:64" s="136" customFormat="1">
      <c r="A55" s="146"/>
      <c r="B55" s="146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s="136" customFormat="1">
      <c r="A56" s="146"/>
      <c r="B56" s="146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s="136" customFormat="1">
      <c r="A57" s="146"/>
      <c r="B57" s="146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s="136" customFormat="1">
      <c r="A58" s="146"/>
      <c r="B58" s="146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136" customFormat="1">
      <c r="A59" s="146"/>
      <c r="B59" s="146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s="136" customFormat="1">
      <c r="A60" s="146"/>
      <c r="B60" s="146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s="136" customFormat="1">
      <c r="A61" s="146"/>
      <c r="B61" s="146"/>
      <c r="C61" s="11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s="136" customFormat="1">
      <c r="A62" s="146"/>
      <c r="B62" s="146"/>
      <c r="C62" s="11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s="136" customFormat="1">
      <c r="A63" s="146"/>
      <c r="B63" s="146"/>
      <c r="C63" s="11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 s="136" customFormat="1">
      <c r="A64" s="146"/>
      <c r="B64" s="146"/>
      <c r="C64" s="11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64" s="136" customFormat="1">
      <c r="A65" s="146"/>
      <c r="B65" s="146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s="136" customFormat="1">
      <c r="A66" s="146"/>
      <c r="B66" s="146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s="136" customFormat="1">
      <c r="A67" s="146"/>
      <c r="B67" s="146"/>
      <c r="C67" s="11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64" s="136" customFormat="1">
      <c r="A68" s="146"/>
      <c r="B68" s="146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136" customFormat="1">
      <c r="A69" s="146"/>
      <c r="B69" s="146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s="136" customFormat="1">
      <c r="A70" s="146"/>
      <c r="B70" s="146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s="136" customFormat="1">
      <c r="A71" s="146"/>
      <c r="B71" s="146"/>
      <c r="C71" s="11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s="136" customFormat="1">
      <c r="A72" s="146"/>
      <c r="B72" s="146"/>
      <c r="C72" s="11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s="136" customFormat="1">
      <c r="A73" s="146"/>
      <c r="B73" s="146"/>
      <c r="C73" s="11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64" s="136" customFormat="1">
      <c r="A74" s="146"/>
      <c r="B74" s="146"/>
      <c r="C74" s="11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s="136" customFormat="1">
      <c r="A75" s="146"/>
      <c r="B75" s="146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4" s="136" customFormat="1">
      <c r="A76" s="146"/>
      <c r="B76" s="146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s="136" customFormat="1">
      <c r="A77" s="146"/>
      <c r="B77" s="146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s="136" customFormat="1">
      <c r="A78" s="146"/>
      <c r="B78" s="146"/>
      <c r="C78" s="11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s="136" customFormat="1">
      <c r="A79" s="146"/>
      <c r="B79" s="146"/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s="136" customFormat="1">
      <c r="A80" s="146"/>
      <c r="B80" s="146"/>
      <c r="C80" s="11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s="136" customFormat="1">
      <c r="A81" s="146"/>
      <c r="B81" s="146"/>
      <c r="C81" s="11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s="136" customFormat="1">
      <c r="A82" s="146"/>
      <c r="B82" s="146"/>
      <c r="C82" s="11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s="136" customFormat="1">
      <c r="A83" s="146"/>
      <c r="B83" s="146"/>
      <c r="C83" s="11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s="136" customFormat="1">
      <c r="A84" s="146"/>
      <c r="B84" s="146"/>
      <c r="C84" s="11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s="136" customFormat="1">
      <c r="A85" s="146"/>
      <c r="B85" s="146"/>
      <c r="C85" s="11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s="136" customFormat="1">
      <c r="A86" s="146"/>
      <c r="B86" s="146"/>
      <c r="C86" s="11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s="136" customFormat="1">
      <c r="A87" s="146"/>
      <c r="B87" s="146"/>
      <c r="C87" s="11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64" s="136" customFormat="1">
      <c r="A88" s="146"/>
      <c r="B88" s="146"/>
      <c r="C88" s="11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64" s="136" customFormat="1">
      <c r="A89" s="146"/>
      <c r="B89" s="146"/>
      <c r="C89" s="11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64" s="136" customFormat="1">
      <c r="A90" s="146"/>
      <c r="B90" s="146"/>
      <c r="C90" s="11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s="136" customFormat="1">
      <c r="A91" s="146"/>
      <c r="B91" s="146"/>
      <c r="C91" s="11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s="136" customFormat="1">
      <c r="A92" s="146"/>
      <c r="B92" s="146"/>
      <c r="C92" s="11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s="136" customFormat="1">
      <c r="A93" s="146"/>
      <c r="B93" s="146"/>
      <c r="C93" s="11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s="136" customFormat="1">
      <c r="A94" s="146"/>
      <c r="B94" s="146"/>
      <c r="C94" s="11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s="136" customFormat="1">
      <c r="A95" s="146"/>
      <c r="B95" s="146"/>
      <c r="C95" s="11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s="136" customFormat="1">
      <c r="A96" s="146"/>
      <c r="B96" s="146"/>
      <c r="C96" s="11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s="136" customFormat="1">
      <c r="A97" s="146"/>
      <c r="B97" s="146"/>
      <c r="C97" s="11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s="136" customFormat="1">
      <c r="A98" s="146"/>
      <c r="B98" s="146"/>
      <c r="C98" s="11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s="136" customFormat="1">
      <c r="A99" s="146"/>
      <c r="B99" s="146"/>
      <c r="C99" s="11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s="136" customFormat="1">
      <c r="A100" s="146"/>
      <c r="B100" s="146"/>
      <c r="C100" s="11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s="136" customFormat="1">
      <c r="A101" s="146"/>
      <c r="B101" s="146"/>
      <c r="C101" s="11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s="136" customFormat="1">
      <c r="A102" s="146"/>
      <c r="B102" s="146"/>
      <c r="C102" s="11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s="136" customFormat="1">
      <c r="A103" s="146"/>
      <c r="B103" s="146"/>
      <c r="C103" s="11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s="136" customFormat="1">
      <c r="A104" s="146"/>
      <c r="B104" s="146"/>
      <c r="C104" s="11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s="136" customFormat="1">
      <c r="A105" s="146"/>
      <c r="B105" s="146"/>
      <c r="C105" s="11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s="136" customFormat="1">
      <c r="A106" s="146"/>
      <c r="B106" s="146"/>
      <c r="C106" s="11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s="136" customFormat="1">
      <c r="A107" s="146"/>
      <c r="B107" s="146"/>
      <c r="C107" s="11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136" customFormat="1">
      <c r="A108" s="146"/>
      <c r="B108" s="146"/>
      <c r="C108" s="11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s="136" customFormat="1">
      <c r="A109" s="146"/>
      <c r="B109" s="146"/>
      <c r="C109" s="11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s="136" customFormat="1">
      <c r="A110" s="146"/>
      <c r="B110" s="146"/>
      <c r="C110" s="11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s="136" customFormat="1">
      <c r="A111" s="146"/>
      <c r="B111" s="146"/>
      <c r="C111" s="11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s="136" customFormat="1">
      <c r="A112" s="146"/>
      <c r="B112" s="146"/>
      <c r="C112" s="11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s="136" customFormat="1">
      <c r="A113" s="146"/>
      <c r="B113" s="146"/>
      <c r="C113" s="11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s="136" customFormat="1">
      <c r="A114" s="146"/>
      <c r="B114" s="146"/>
      <c r="C114" s="11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s="136" customFormat="1">
      <c r="A115" s="146"/>
      <c r="B115" s="146"/>
      <c r="C115" s="11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s="136" customFormat="1">
      <c r="A116" s="146"/>
      <c r="B116" s="146"/>
      <c r="C116" s="11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s="136" customFormat="1">
      <c r="A117" s="146"/>
      <c r="B117" s="146"/>
      <c r="C117" s="11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s="136" customFormat="1">
      <c r="A118" s="146"/>
      <c r="B118" s="146"/>
      <c r="C118" s="11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s="136" customFormat="1">
      <c r="A119" s="146"/>
      <c r="B119" s="146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s="136" customFormat="1">
      <c r="A120" s="146"/>
      <c r="B120" s="146"/>
      <c r="C120" s="11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s="136" customFormat="1">
      <c r="A121" s="146"/>
      <c r="B121" s="146"/>
      <c r="C121" s="11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136" customFormat="1">
      <c r="A122" s="146"/>
      <c r="B122" s="146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136" customFormat="1">
      <c r="A123" s="146"/>
      <c r="B123" s="146"/>
      <c r="C123" s="11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136" customFormat="1">
      <c r="A124" s="146"/>
      <c r="B124" s="146"/>
      <c r="C124" s="11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136" customFormat="1">
      <c r="A125" s="146"/>
      <c r="B125" s="146"/>
      <c r="C125" s="11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136" customFormat="1">
      <c r="A126" s="146"/>
      <c r="B126" s="146"/>
      <c r="C126" s="11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136" customFormat="1">
      <c r="A127" s="146"/>
      <c r="B127" s="146"/>
      <c r="C127" s="11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s="136" customFormat="1">
      <c r="A128" s="146"/>
      <c r="B128" s="146"/>
      <c r="C128" s="11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136" customFormat="1">
      <c r="A129" s="146"/>
      <c r="B129" s="146"/>
      <c r="C129" s="11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136" customFormat="1">
      <c r="A130" s="146"/>
      <c r="B130" s="146"/>
      <c r="C130" s="11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136" customFormat="1">
      <c r="A131" s="146"/>
      <c r="B131" s="146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136" customFormat="1">
      <c r="A132" s="146"/>
      <c r="B132" s="146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136" customFormat="1">
      <c r="A133" s="146"/>
      <c r="B133" s="146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136" customFormat="1">
      <c r="A134" s="146"/>
      <c r="B134" s="146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136" customFormat="1">
      <c r="A135" s="146"/>
      <c r="B135" s="146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s="136" customFormat="1">
      <c r="A136" s="146"/>
      <c r="B136" s="146"/>
      <c r="C136" s="11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 s="136" customFormat="1">
      <c r="A137" s="146"/>
      <c r="B137" s="146"/>
      <c r="C137" s="11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s="136" customFormat="1">
      <c r="A138" s="146"/>
      <c r="B138" s="146"/>
      <c r="C138" s="11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s="136" customFormat="1">
      <c r="A139" s="146"/>
      <c r="B139" s="146"/>
      <c r="C139" s="11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s="136" customFormat="1">
      <c r="A140" s="146"/>
      <c r="B140" s="146"/>
      <c r="C140" s="11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s="136" customFormat="1">
      <c r="A141" s="146"/>
      <c r="B141" s="146"/>
      <c r="C141" s="11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1:64" s="136" customFormat="1">
      <c r="A142" s="146"/>
      <c r="B142" s="146"/>
      <c r="C142" s="11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1:64" s="136" customFormat="1">
      <c r="A143" s="146"/>
      <c r="B143" s="146"/>
      <c r="C143" s="11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</sheetData>
  <mergeCells count="2">
    <mergeCell ref="AR6:AV6"/>
    <mergeCell ref="AR7:AV7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BJ144"/>
  <sheetViews>
    <sheetView zoomScaleNormal="100" workbookViewId="0">
      <pane xSplit="3" ySplit="5" topLeftCell="Z6" activePane="bottomRight" state="frozen"/>
      <selection activeCell="B24" sqref="B24"/>
      <selection pane="topRight" activeCell="B24" sqref="B24"/>
      <selection pane="bottomLeft" activeCell="B24" sqref="B24"/>
      <selection pane="bottomRight" activeCell="AL8" sqref="AL8"/>
    </sheetView>
  </sheetViews>
  <sheetFormatPr defaultRowHeight="15"/>
  <cols>
    <col min="1" max="1" width="12.28515625" style="146" bestFit="1" customWidth="1"/>
    <col min="2" max="2" width="3.5703125" style="146" bestFit="1" customWidth="1"/>
    <col min="3" max="3" width="26.28515625" style="11" bestFit="1" customWidth="1"/>
    <col min="4" max="4" width="11.140625" style="11" bestFit="1" customWidth="1"/>
    <col min="5" max="5" width="53.85546875" style="136" bestFit="1" customWidth="1"/>
    <col min="6" max="6" width="22.7109375" style="11" customWidth="1"/>
    <col min="7" max="7" width="11.5703125" style="11" bestFit="1" customWidth="1"/>
    <col min="8" max="8" width="14.7109375" style="11" customWidth="1"/>
    <col min="9" max="9" width="10.7109375" style="11" bestFit="1" customWidth="1"/>
    <col min="10" max="10" width="13.42578125" style="11" bestFit="1" customWidth="1"/>
    <col min="11" max="11" width="10.7109375" style="11" bestFit="1" customWidth="1"/>
    <col min="12" max="12" width="13.42578125" style="11" bestFit="1" customWidth="1"/>
    <col min="13" max="13" width="10.7109375" style="11" bestFit="1" customWidth="1"/>
    <col min="14" max="14" width="13.42578125" style="11" bestFit="1" customWidth="1"/>
    <col min="15" max="15" width="10.7109375" style="11" bestFit="1" customWidth="1"/>
    <col min="16" max="16" width="13.42578125" style="11" bestFit="1" customWidth="1"/>
    <col min="17" max="17" width="9.7109375" style="11" bestFit="1" customWidth="1"/>
    <col min="18" max="18" width="10" style="11" bestFit="1" customWidth="1"/>
    <col min="19" max="19" width="6.140625" style="11" bestFit="1" customWidth="1"/>
    <col min="20" max="20" width="8.85546875" style="11" bestFit="1" customWidth="1"/>
    <col min="21" max="21" width="7.140625" style="11" bestFit="1" customWidth="1"/>
    <col min="22" max="22" width="11.28515625" style="11" customWidth="1"/>
    <col min="23" max="23" width="9.42578125" style="11" bestFit="1" customWidth="1"/>
    <col min="24" max="24" width="10.5703125" style="11" bestFit="1" customWidth="1"/>
    <col min="25" max="25" width="7.140625" style="11" bestFit="1" customWidth="1"/>
    <col min="26" max="26" width="8.42578125" style="11" bestFit="1" customWidth="1"/>
    <col min="27" max="27" width="7.140625" style="11" bestFit="1" customWidth="1"/>
    <col min="28" max="28" width="5.140625" style="11" bestFit="1" customWidth="1"/>
    <col min="29" max="29" width="10.28515625" style="11" bestFit="1" customWidth="1"/>
    <col min="30" max="30" width="15.5703125" style="11" bestFit="1" customWidth="1"/>
    <col min="31" max="31" width="7.7109375" style="11" bestFit="1" customWidth="1"/>
    <col min="32" max="32" width="10.5703125" style="11" bestFit="1" customWidth="1"/>
    <col min="33" max="33" width="6.140625" style="11" bestFit="1" customWidth="1"/>
    <col min="34" max="34" width="9.28515625" style="11" bestFit="1" customWidth="1"/>
    <col min="35" max="35" width="14.140625" style="11" customWidth="1"/>
    <col min="36" max="36" width="8" style="11" bestFit="1" customWidth="1"/>
    <col min="37" max="37" width="6.5703125" style="11" bestFit="1" customWidth="1"/>
    <col min="38" max="38" width="8" style="11" bestFit="1" customWidth="1"/>
    <col min="39" max="39" width="8.28515625" style="11" bestFit="1" customWidth="1"/>
    <col min="40" max="40" width="14.85546875" style="11" customWidth="1"/>
    <col min="41" max="41" width="15.42578125" style="11" customWidth="1"/>
    <col min="42" max="42" width="7" style="11" bestFit="1" customWidth="1"/>
    <col min="43" max="43" width="22" style="11" bestFit="1" customWidth="1"/>
    <col min="44" max="44" width="6.85546875" style="11" bestFit="1" customWidth="1"/>
    <col min="45" max="45" width="5.5703125" style="11" bestFit="1" customWidth="1"/>
    <col min="46" max="46" width="7.5703125" style="11" bestFit="1" customWidth="1"/>
    <col min="47" max="47" width="7" style="11" bestFit="1" customWidth="1"/>
    <col min="48" max="48" width="20.140625" style="11" bestFit="1" customWidth="1"/>
    <col min="49" max="49" width="6.85546875" style="11" bestFit="1" customWidth="1"/>
    <col min="50" max="50" width="5.5703125" style="11" bestFit="1" customWidth="1"/>
    <col min="51" max="51" width="7.5703125" style="11" bestFit="1" customWidth="1"/>
    <col min="52" max="52" width="17.85546875" style="11" customWidth="1"/>
    <col min="53" max="53" width="10.42578125" style="11" bestFit="1" customWidth="1"/>
    <col min="54" max="54" width="12" style="11" bestFit="1" customWidth="1"/>
    <col min="55" max="56" width="14.42578125" style="11" bestFit="1" customWidth="1"/>
    <col min="57" max="57" width="13.28515625" style="11" bestFit="1" customWidth="1"/>
    <col min="58" max="58" width="16.28515625" style="11" bestFit="1" customWidth="1"/>
    <col min="59" max="59" width="22.28515625" style="11" customWidth="1"/>
    <col min="60" max="60" width="12.140625" style="11" bestFit="1" customWidth="1"/>
    <col min="61" max="61" width="15.42578125" style="11" hidden="1" customWidth="1"/>
    <col min="62" max="62" width="12.42578125" style="11" hidden="1" customWidth="1"/>
    <col min="63" max="16384" width="9.140625" style="11"/>
  </cols>
  <sheetData>
    <row r="2" spans="1:62" ht="23.25">
      <c r="F2" s="9" t="s">
        <v>648</v>
      </c>
      <c r="G2" s="9"/>
      <c r="H2" s="10"/>
    </row>
    <row r="4" spans="1:62" ht="15.75">
      <c r="C4" s="137" t="s">
        <v>17</v>
      </c>
      <c r="D4" s="137"/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V4" s="18" t="s">
        <v>16</v>
      </c>
      <c r="W4" s="18"/>
      <c r="X4" s="17"/>
      <c r="Y4" s="17"/>
      <c r="Z4" s="19"/>
      <c r="AA4" s="19"/>
      <c r="AB4" s="19"/>
      <c r="AC4" s="19"/>
      <c r="AD4" s="19"/>
      <c r="AE4" s="19"/>
      <c r="AF4" s="19"/>
      <c r="AG4" s="19"/>
      <c r="AL4" s="138"/>
      <c r="AN4" s="20" t="s">
        <v>19</v>
      </c>
      <c r="AO4" s="21"/>
      <c r="AP4" s="23"/>
      <c r="AQ4" s="24" t="s">
        <v>22</v>
      </c>
      <c r="AR4" s="7"/>
      <c r="AS4" s="23"/>
      <c r="AT4" s="23"/>
      <c r="AU4" s="23"/>
      <c r="AV4" s="25" t="s">
        <v>28</v>
      </c>
      <c r="AW4" s="7"/>
      <c r="AX4" s="23"/>
      <c r="AY4" s="23"/>
      <c r="AZ4" s="23"/>
      <c r="BA4" s="26"/>
      <c r="BB4" s="26"/>
      <c r="BC4" s="26" t="s">
        <v>34</v>
      </c>
      <c r="BD4" s="26"/>
      <c r="BE4" s="26"/>
      <c r="BF4" s="26"/>
      <c r="BG4" s="26"/>
    </row>
    <row r="5" spans="1:62" ht="30">
      <c r="A5" s="139" t="s">
        <v>0</v>
      </c>
      <c r="B5" s="150" t="s">
        <v>541</v>
      </c>
      <c r="C5" s="139" t="s">
        <v>2</v>
      </c>
      <c r="D5" s="30" t="s">
        <v>56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2" t="s">
        <v>8</v>
      </c>
      <c r="S5" s="32" t="s">
        <v>47</v>
      </c>
      <c r="T5" s="32" t="s">
        <v>9</v>
      </c>
      <c r="U5" s="32" t="s">
        <v>36</v>
      </c>
      <c r="V5" s="32" t="s">
        <v>10</v>
      </c>
      <c r="W5" s="32" t="s">
        <v>48</v>
      </c>
      <c r="X5" s="32" t="s">
        <v>11</v>
      </c>
      <c r="Y5" s="32" t="s">
        <v>53</v>
      </c>
      <c r="Z5" s="32" t="s">
        <v>12</v>
      </c>
      <c r="AA5" s="32" t="s">
        <v>52</v>
      </c>
      <c r="AB5" s="32" t="s">
        <v>49</v>
      </c>
      <c r="AC5" s="32" t="s">
        <v>14</v>
      </c>
      <c r="AD5" s="32" t="s">
        <v>37</v>
      </c>
      <c r="AE5" s="32" t="s">
        <v>50</v>
      </c>
      <c r="AF5" s="32" t="s">
        <v>51</v>
      </c>
      <c r="AG5" s="32" t="s">
        <v>46</v>
      </c>
      <c r="AH5" s="32" t="s">
        <v>38</v>
      </c>
      <c r="AI5" s="32" t="s">
        <v>39</v>
      </c>
      <c r="AJ5" s="32" t="s">
        <v>40</v>
      </c>
      <c r="AK5" s="32" t="s">
        <v>13</v>
      </c>
      <c r="AL5" s="140" t="s">
        <v>20</v>
      </c>
      <c r="AM5" s="141" t="s">
        <v>21</v>
      </c>
      <c r="AN5" s="33" t="s">
        <v>18</v>
      </c>
      <c r="AO5" s="33" t="s">
        <v>55</v>
      </c>
      <c r="AP5" s="35" t="s">
        <v>23</v>
      </c>
      <c r="AQ5" s="35" t="s">
        <v>24</v>
      </c>
      <c r="AR5" s="35" t="s">
        <v>25</v>
      </c>
      <c r="AS5" s="35" t="s">
        <v>26</v>
      </c>
      <c r="AT5" s="35" t="s">
        <v>27</v>
      </c>
      <c r="AU5" s="36" t="s">
        <v>23</v>
      </c>
      <c r="AV5" s="36" t="s">
        <v>24</v>
      </c>
      <c r="AW5" s="36" t="s">
        <v>25</v>
      </c>
      <c r="AX5" s="36" t="s">
        <v>26</v>
      </c>
      <c r="AY5" s="36" t="s">
        <v>27</v>
      </c>
      <c r="AZ5" s="37" t="s">
        <v>45</v>
      </c>
      <c r="BA5" s="38" t="s">
        <v>29</v>
      </c>
      <c r="BB5" s="38" t="s">
        <v>30</v>
      </c>
      <c r="BC5" s="38" t="s">
        <v>31</v>
      </c>
      <c r="BD5" s="38" t="s">
        <v>32</v>
      </c>
      <c r="BE5" s="38" t="s">
        <v>33</v>
      </c>
      <c r="BF5" s="38" t="s">
        <v>35</v>
      </c>
      <c r="BG5" s="38" t="s">
        <v>44</v>
      </c>
      <c r="BH5" s="38" t="s">
        <v>41</v>
      </c>
      <c r="BI5" s="38" t="s">
        <v>42</v>
      </c>
      <c r="BJ5" s="38" t="s">
        <v>43</v>
      </c>
    </row>
    <row r="6" spans="1:62" s="146" customFormat="1" ht="30">
      <c r="A6" s="209" t="s">
        <v>647</v>
      </c>
      <c r="B6" s="209" t="s">
        <v>541</v>
      </c>
      <c r="C6" s="209" t="s">
        <v>70</v>
      </c>
      <c r="D6" s="209" t="s">
        <v>76</v>
      </c>
      <c r="E6" s="151" t="s">
        <v>646</v>
      </c>
      <c r="F6" s="151" t="s">
        <v>640</v>
      </c>
      <c r="G6" s="213" t="s">
        <v>645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74"/>
      <c r="T6" s="174"/>
      <c r="U6" s="174"/>
      <c r="V6" s="152"/>
      <c r="W6" s="174"/>
      <c r="X6" s="152"/>
      <c r="Y6" s="174"/>
      <c r="Z6" s="174"/>
      <c r="AA6" s="152"/>
      <c r="AB6" s="174"/>
      <c r="AC6" s="174"/>
      <c r="AD6" s="152"/>
      <c r="AE6" s="174"/>
      <c r="AF6" s="174"/>
      <c r="AG6" s="174"/>
      <c r="AH6" s="174"/>
      <c r="AI6" s="174"/>
      <c r="AJ6" s="174"/>
      <c r="AK6" s="174"/>
      <c r="AL6" s="153">
        <v>48.1</v>
      </c>
      <c r="AM6" s="201">
        <f>AL6/0.444</f>
        <v>108.33333333333333</v>
      </c>
      <c r="AN6" s="188" t="s">
        <v>644</v>
      </c>
      <c r="AO6" s="189">
        <v>10038568739398</v>
      </c>
      <c r="AP6" s="406" t="s">
        <v>576</v>
      </c>
      <c r="AQ6" s="406"/>
      <c r="AR6" s="406"/>
      <c r="AS6" s="406"/>
      <c r="AT6" s="406"/>
      <c r="AU6" s="210">
        <v>11.75</v>
      </c>
      <c r="AV6" s="210">
        <v>4.75</v>
      </c>
      <c r="AW6" s="210">
        <v>5</v>
      </c>
      <c r="AX6" s="195">
        <f>(AW6*AV6*AU6)/1728</f>
        <v>0.16149450231481483</v>
      </c>
      <c r="AY6" s="209">
        <f>0.5+1.5+0.58+0.25</f>
        <v>2.83</v>
      </c>
      <c r="AZ6" s="210" t="s">
        <v>68</v>
      </c>
      <c r="BA6" s="210">
        <v>1</v>
      </c>
      <c r="BB6" s="210">
        <v>28</v>
      </c>
      <c r="BC6" s="210">
        <v>9</v>
      </c>
      <c r="BD6" s="208">
        <f>BA6*BB6*BC6</f>
        <v>252</v>
      </c>
      <c r="BE6" s="208">
        <f>(AY6*BD6)+50</f>
        <v>763.16</v>
      </c>
      <c r="BF6" s="208" t="s">
        <v>65</v>
      </c>
      <c r="BG6" s="208" t="s">
        <v>107</v>
      </c>
      <c r="BH6" s="174"/>
    </row>
    <row r="7" spans="1:62" s="146" customFormat="1">
      <c r="A7" s="151" t="s">
        <v>643</v>
      </c>
      <c r="B7" s="151" t="s">
        <v>541</v>
      </c>
      <c r="C7" s="151" t="s">
        <v>642</v>
      </c>
      <c r="D7" s="152" t="s">
        <v>172</v>
      </c>
      <c r="E7" s="151" t="s">
        <v>641</v>
      </c>
      <c r="F7" s="151" t="s">
        <v>640</v>
      </c>
      <c r="G7" s="213" t="s">
        <v>639</v>
      </c>
      <c r="H7" s="152" t="s">
        <v>82</v>
      </c>
      <c r="I7" s="152" t="s">
        <v>638</v>
      </c>
      <c r="J7" s="152" t="s">
        <v>335</v>
      </c>
      <c r="K7" s="174">
        <v>85104856</v>
      </c>
      <c r="L7" s="174"/>
      <c r="M7" s="174"/>
      <c r="N7" s="174"/>
      <c r="O7" s="174"/>
      <c r="P7" s="174"/>
      <c r="Q7" s="174"/>
      <c r="R7" s="152" t="s">
        <v>637</v>
      </c>
      <c r="S7" s="174"/>
      <c r="T7" s="174">
        <v>86938</v>
      </c>
      <c r="U7" s="174"/>
      <c r="V7" s="174"/>
      <c r="W7" s="174"/>
      <c r="X7" s="152" t="s">
        <v>636</v>
      </c>
      <c r="Y7" s="152" t="s">
        <v>635</v>
      </c>
      <c r="Z7" s="174"/>
      <c r="AA7" s="174"/>
      <c r="AB7" s="174"/>
      <c r="AC7" s="174"/>
      <c r="AD7" s="174"/>
      <c r="AE7" s="174"/>
      <c r="AF7" s="174"/>
      <c r="AG7" s="174">
        <v>3938</v>
      </c>
      <c r="AH7" s="174"/>
      <c r="AI7" s="174"/>
      <c r="AJ7" s="174"/>
      <c r="AK7" s="174">
        <v>33938</v>
      </c>
      <c r="AL7" s="153">
        <v>53.05</v>
      </c>
      <c r="AM7" s="201">
        <f>AL7/0.444</f>
        <v>119.48198198198197</v>
      </c>
      <c r="AN7" s="188" t="s">
        <v>634</v>
      </c>
      <c r="AO7" s="189" t="s">
        <v>633</v>
      </c>
      <c r="AP7" s="210">
        <v>5.165</v>
      </c>
      <c r="AQ7" s="210">
        <v>5.165</v>
      </c>
      <c r="AR7" s="210">
        <v>6.2050000000000001</v>
      </c>
      <c r="AS7" s="195">
        <f>(AR7*AQ7*AP7)/1728</f>
        <v>9.5794086299189812E-2</v>
      </c>
      <c r="AT7" s="212">
        <v>2.3199999999999998</v>
      </c>
      <c r="AU7" s="209">
        <v>15.868</v>
      </c>
      <c r="AV7" s="209">
        <v>11.993</v>
      </c>
      <c r="AW7" s="209">
        <v>8.2989999999999995</v>
      </c>
      <c r="AX7" s="195">
        <f>(AW7*AV7*AU7)/1728</f>
        <v>0.91397023395601851</v>
      </c>
      <c r="AY7" s="211">
        <v>14.188000000000001</v>
      </c>
      <c r="AZ7" s="210" t="s">
        <v>68</v>
      </c>
      <c r="BA7" s="209">
        <v>6</v>
      </c>
      <c r="BB7" s="209">
        <v>10</v>
      </c>
      <c r="BC7" s="152">
        <v>5</v>
      </c>
      <c r="BD7" s="208">
        <f>BA7*BB7*BC7</f>
        <v>300</v>
      </c>
      <c r="BE7" s="208">
        <f>(AT7*BD7)+50</f>
        <v>746</v>
      </c>
      <c r="BF7" s="208" t="s">
        <v>65</v>
      </c>
      <c r="BG7" s="208" t="s">
        <v>107</v>
      </c>
      <c r="BH7" s="174"/>
    </row>
    <row r="8" spans="1:62" s="146" customFormat="1" ht="30">
      <c r="A8" s="151" t="s">
        <v>632</v>
      </c>
      <c r="B8" s="151" t="s">
        <v>582</v>
      </c>
      <c r="C8" s="207" t="s">
        <v>631</v>
      </c>
      <c r="D8" s="152" t="s">
        <v>304</v>
      </c>
      <c r="E8" s="207" t="s">
        <v>630</v>
      </c>
      <c r="F8" s="207" t="s">
        <v>256</v>
      </c>
      <c r="G8" s="207" t="s">
        <v>629</v>
      </c>
      <c r="H8" s="152" t="s">
        <v>628</v>
      </c>
      <c r="I8" s="207" t="s">
        <v>627</v>
      </c>
      <c r="J8" s="152"/>
      <c r="K8" s="174"/>
      <c r="L8" s="174"/>
      <c r="M8" s="174"/>
      <c r="N8" s="174"/>
      <c r="O8" s="174"/>
      <c r="P8" s="174"/>
      <c r="Q8" s="174"/>
      <c r="R8" s="152"/>
      <c r="S8" s="174"/>
      <c r="T8" s="174"/>
      <c r="U8" s="174"/>
      <c r="V8" s="174"/>
      <c r="W8" s="174"/>
      <c r="X8" s="152"/>
      <c r="Y8" s="152"/>
      <c r="Z8" s="174"/>
      <c r="AA8" s="174"/>
      <c r="AB8" s="174"/>
      <c r="AC8" s="174"/>
      <c r="AD8" s="174"/>
      <c r="AE8" s="174"/>
      <c r="AF8" s="174"/>
      <c r="AG8" s="174"/>
      <c r="AH8" s="207" t="s">
        <v>626</v>
      </c>
      <c r="AI8" s="207" t="s">
        <v>625</v>
      </c>
      <c r="AJ8" s="207" t="s">
        <v>624</v>
      </c>
      <c r="AK8" s="174"/>
      <c r="AL8" s="206">
        <v>12.9</v>
      </c>
      <c r="AM8" s="201">
        <f>AL8/0.444</f>
        <v>29.054054054054056</v>
      </c>
      <c r="AN8" s="205" t="s">
        <v>623</v>
      </c>
      <c r="AO8" s="205" t="s">
        <v>622</v>
      </c>
      <c r="AP8" s="204">
        <v>2.411</v>
      </c>
      <c r="AQ8" s="204">
        <v>2.411</v>
      </c>
      <c r="AR8" s="204">
        <v>6.5720000000000001</v>
      </c>
      <c r="AS8" s="195">
        <f>(AR8*AQ8*AP8)/1728</f>
        <v>2.2107937969907412E-2</v>
      </c>
      <c r="AT8" s="204">
        <v>1.1000000000000001</v>
      </c>
      <c r="AU8" s="204">
        <v>10.25</v>
      </c>
      <c r="AV8" s="204">
        <v>7.75</v>
      </c>
      <c r="AW8" s="204">
        <v>7.12</v>
      </c>
      <c r="AX8" s="195">
        <f>(AW8*AV8*AU8)/1728</f>
        <v>0.32731192129629633</v>
      </c>
      <c r="AY8" s="204">
        <v>14.7</v>
      </c>
      <c r="AZ8" s="204" t="s">
        <v>68</v>
      </c>
      <c r="BA8" s="202">
        <v>12</v>
      </c>
      <c r="BB8" s="202">
        <v>22</v>
      </c>
      <c r="BC8" s="202">
        <v>6</v>
      </c>
      <c r="BD8" s="202">
        <f>BA8*BB8*BC8</f>
        <v>1584</v>
      </c>
      <c r="BE8" s="203">
        <f>(AT8*BD8)+50</f>
        <v>1792.4</v>
      </c>
      <c r="BF8" s="202" t="s">
        <v>65</v>
      </c>
      <c r="BG8" s="202" t="s">
        <v>107</v>
      </c>
      <c r="BH8" s="174"/>
    </row>
    <row r="9" spans="1:62" s="146" customFormat="1">
      <c r="A9" s="142"/>
      <c r="B9" s="142"/>
      <c r="C9" s="142"/>
      <c r="D9" s="11"/>
      <c r="E9" s="142"/>
      <c r="F9" s="142"/>
      <c r="G9" s="89"/>
      <c r="H9" s="11"/>
      <c r="I9" s="11"/>
      <c r="J9" s="11"/>
      <c r="R9" s="11"/>
      <c r="X9" s="11"/>
      <c r="Y9" s="11"/>
      <c r="AL9" s="143"/>
      <c r="AM9" s="144"/>
      <c r="AN9" s="11"/>
      <c r="AP9" s="86"/>
      <c r="AQ9" s="86"/>
      <c r="AR9" s="86"/>
      <c r="AS9" s="11"/>
      <c r="AT9" s="86"/>
      <c r="AU9" s="86"/>
      <c r="AV9" s="86"/>
      <c r="AW9" s="86"/>
      <c r="AX9" s="11"/>
      <c r="AY9" s="86"/>
      <c r="AZ9" s="11"/>
      <c r="BA9" s="11"/>
      <c r="BF9" s="11"/>
      <c r="BG9" s="89"/>
    </row>
    <row r="10" spans="1:62" ht="7.5" customHeight="1">
      <c r="A10" s="160"/>
      <c r="B10" s="160"/>
      <c r="C10" s="160"/>
      <c r="D10" s="161"/>
      <c r="E10" s="160"/>
      <c r="F10" s="160"/>
      <c r="G10" s="160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1"/>
      <c r="S10" s="162"/>
      <c r="T10" s="162"/>
      <c r="U10" s="162"/>
      <c r="V10" s="162"/>
      <c r="W10" s="162"/>
      <c r="X10" s="161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3"/>
      <c r="AM10" s="164"/>
      <c r="AN10" s="161"/>
      <c r="AO10" s="162"/>
      <c r="AP10" s="165"/>
      <c r="AQ10" s="165"/>
      <c r="AR10" s="165"/>
      <c r="AS10" s="161"/>
      <c r="AT10" s="165"/>
      <c r="AU10" s="165"/>
      <c r="AV10" s="165"/>
      <c r="AW10" s="165"/>
      <c r="AX10" s="161"/>
      <c r="AY10" s="165"/>
      <c r="AZ10" s="161"/>
      <c r="BA10" s="161"/>
      <c r="BB10" s="162"/>
      <c r="BC10" s="162"/>
      <c r="BD10" s="162"/>
      <c r="BE10" s="162"/>
      <c r="BF10" s="161"/>
      <c r="BG10" s="166"/>
      <c r="BH10" s="162"/>
      <c r="BI10" s="146"/>
      <c r="BJ10" s="146"/>
    </row>
    <row r="11" spans="1:62" ht="7.5" customHeight="1">
      <c r="A11" s="142"/>
      <c r="B11" s="142"/>
      <c r="C11" s="142"/>
      <c r="E11" s="142"/>
      <c r="F11" s="142"/>
      <c r="G11" s="142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S11" s="146"/>
      <c r="T11" s="146"/>
      <c r="U11" s="146"/>
      <c r="V11" s="146"/>
      <c r="W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3"/>
      <c r="AM11" s="144"/>
      <c r="AO11" s="146"/>
      <c r="AP11" s="86"/>
      <c r="AQ11" s="86"/>
      <c r="AR11" s="86"/>
      <c r="AT11" s="86"/>
      <c r="AU11" s="86"/>
      <c r="AV11" s="86"/>
      <c r="AW11" s="86"/>
      <c r="AY11" s="86"/>
      <c r="BB11" s="146"/>
      <c r="BC11" s="146"/>
      <c r="BD11" s="146"/>
      <c r="BE11" s="146"/>
      <c r="BG11" s="89"/>
      <c r="BH11" s="146"/>
      <c r="BI11" s="146"/>
      <c r="BJ11" s="146"/>
    </row>
    <row r="12" spans="1:62" ht="23.25">
      <c r="A12" s="142"/>
      <c r="B12" s="142"/>
      <c r="C12" s="142"/>
      <c r="E12" s="142"/>
      <c r="F12" s="159" t="s">
        <v>542</v>
      </c>
      <c r="G12" s="142"/>
      <c r="S12" s="146"/>
      <c r="T12" s="146"/>
      <c r="U12" s="146"/>
      <c r="W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3"/>
      <c r="AM12" s="144"/>
      <c r="AO12" s="146"/>
      <c r="AP12" s="86"/>
      <c r="AQ12" s="86"/>
      <c r="AR12" s="86"/>
      <c r="AT12" s="86"/>
      <c r="AU12" s="86"/>
      <c r="AV12" s="86"/>
      <c r="AW12" s="86"/>
      <c r="AY12" s="86"/>
      <c r="BB12" s="146"/>
      <c r="BC12" s="146"/>
      <c r="BD12" s="146"/>
      <c r="BE12" s="146"/>
      <c r="BG12" s="89"/>
      <c r="BH12" s="146"/>
      <c r="BI12" s="146"/>
      <c r="BJ12" s="146"/>
    </row>
    <row r="13" spans="1:62" s="146" customFormat="1">
      <c r="A13" s="142"/>
      <c r="B13" s="142"/>
      <c r="C13" s="142"/>
      <c r="D13" s="11"/>
      <c r="E13" s="142"/>
      <c r="F13" s="142"/>
      <c r="G13" s="14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43"/>
      <c r="AM13" s="144"/>
      <c r="AN13" s="11"/>
      <c r="AO13" s="11"/>
      <c r="AP13" s="86"/>
      <c r="AQ13" s="86"/>
      <c r="AR13" s="86"/>
      <c r="AS13" s="11"/>
      <c r="AT13" s="86"/>
      <c r="AU13" s="86"/>
      <c r="AV13" s="86"/>
      <c r="AW13" s="86"/>
      <c r="AX13" s="11"/>
      <c r="AY13" s="86"/>
      <c r="AZ13" s="11"/>
      <c r="BA13" s="11"/>
      <c r="BB13" s="11"/>
      <c r="BC13" s="11"/>
      <c r="BF13" s="11"/>
      <c r="BG13" s="89"/>
      <c r="BH13" s="11"/>
      <c r="BI13" s="11"/>
      <c r="BJ13" s="11"/>
    </row>
    <row r="14" spans="1:62">
      <c r="A14" s="142"/>
      <c r="B14" s="142"/>
      <c r="C14" s="142"/>
      <c r="E14" s="30" t="s">
        <v>543</v>
      </c>
      <c r="F14" s="32" t="s">
        <v>545</v>
      </c>
      <c r="G14" s="32" t="s">
        <v>544</v>
      </c>
      <c r="AL14" s="143"/>
      <c r="AM14" s="144"/>
      <c r="AP14" s="86"/>
      <c r="AQ14" s="86"/>
      <c r="AR14" s="86"/>
      <c r="AT14" s="86"/>
      <c r="AU14" s="86"/>
      <c r="AV14" s="86"/>
      <c r="AW14" s="86"/>
      <c r="AY14" s="86"/>
      <c r="BD14" s="146"/>
      <c r="BE14" s="146"/>
      <c r="BG14" s="89"/>
    </row>
    <row r="15" spans="1:62">
      <c r="A15" s="154" t="s">
        <v>621</v>
      </c>
      <c r="B15" s="151" t="s">
        <v>541</v>
      </c>
      <c r="C15" s="151" t="s">
        <v>619</v>
      </c>
      <c r="D15" s="152" t="s">
        <v>304</v>
      </c>
      <c r="E15" s="156" t="s">
        <v>618</v>
      </c>
      <c r="F15" s="157">
        <v>80.5</v>
      </c>
      <c r="G15" s="153">
        <v>25.25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52"/>
      <c r="S15" s="174"/>
      <c r="T15" s="152"/>
      <c r="U15" s="174"/>
      <c r="V15" s="174"/>
      <c r="W15" s="174"/>
      <c r="X15" s="152"/>
      <c r="Y15" s="174"/>
      <c r="Z15" s="174"/>
      <c r="AA15" s="174"/>
      <c r="AB15" s="174"/>
      <c r="AC15" s="174"/>
      <c r="AD15" s="174"/>
      <c r="AE15" s="174"/>
      <c r="AF15" s="174"/>
      <c r="AG15" s="152"/>
      <c r="AH15" s="174"/>
      <c r="AI15" s="174"/>
      <c r="AJ15" s="174"/>
      <c r="AK15" s="152"/>
      <c r="AL15" s="153">
        <v>25.25</v>
      </c>
      <c r="AM15" s="201">
        <f>AL15/0.444</f>
        <v>56.869369369369366</v>
      </c>
      <c r="AO15" s="146"/>
      <c r="AP15" s="86"/>
      <c r="AQ15" s="86"/>
      <c r="AR15" s="86"/>
      <c r="AT15" s="86"/>
      <c r="AU15" s="86"/>
      <c r="AV15" s="86"/>
      <c r="AW15" s="86"/>
      <c r="AY15" s="86"/>
      <c r="BB15" s="146"/>
      <c r="BC15" s="146"/>
      <c r="BD15" s="146"/>
      <c r="BE15" s="146"/>
      <c r="BG15" s="89"/>
      <c r="BH15" s="146"/>
      <c r="BI15" s="146"/>
      <c r="BJ15" s="146"/>
    </row>
    <row r="16" spans="1:62">
      <c r="A16" s="154" t="s">
        <v>620</v>
      </c>
      <c r="B16" s="151" t="s">
        <v>541</v>
      </c>
      <c r="C16" s="151" t="s">
        <v>619</v>
      </c>
      <c r="D16" s="152" t="s">
        <v>304</v>
      </c>
      <c r="E16" s="156" t="s">
        <v>618</v>
      </c>
      <c r="F16" s="157">
        <v>125.32</v>
      </c>
      <c r="G16" s="153">
        <v>47.09</v>
      </c>
      <c r="H16" s="152"/>
      <c r="I16" s="174"/>
      <c r="J16" s="174"/>
      <c r="K16" s="174"/>
      <c r="L16" s="174"/>
      <c r="M16" s="174"/>
      <c r="N16" s="174"/>
      <c r="O16" s="174"/>
      <c r="P16" s="174"/>
      <c r="Q16" s="174"/>
      <c r="R16" s="152"/>
      <c r="S16" s="174"/>
      <c r="T16" s="174"/>
      <c r="U16" s="174"/>
      <c r="V16" s="174"/>
      <c r="W16" s="174"/>
      <c r="X16" s="152"/>
      <c r="Y16" s="152"/>
      <c r="Z16" s="152"/>
      <c r="AA16" s="152"/>
      <c r="AB16" s="174"/>
      <c r="AC16" s="174"/>
      <c r="AD16" s="174"/>
      <c r="AE16" s="174"/>
      <c r="AF16" s="174"/>
      <c r="AG16" s="174"/>
      <c r="AH16" s="152"/>
      <c r="AI16" s="174"/>
      <c r="AJ16" s="174"/>
      <c r="AK16" s="174"/>
      <c r="AL16" s="153">
        <v>47.09</v>
      </c>
      <c r="AM16" s="201">
        <f>AL16/0.444</f>
        <v>106.05855855855856</v>
      </c>
      <c r="AO16" s="146"/>
      <c r="AP16" s="86"/>
      <c r="AQ16" s="86"/>
      <c r="AR16" s="86"/>
      <c r="AT16" s="86"/>
      <c r="AU16" s="86"/>
      <c r="AV16" s="86"/>
      <c r="AW16" s="86"/>
      <c r="AY16" s="86"/>
      <c r="BB16" s="146"/>
      <c r="BC16" s="146"/>
      <c r="BD16" s="146"/>
      <c r="BE16" s="146"/>
      <c r="BG16" s="89"/>
      <c r="BH16" s="146"/>
      <c r="BI16" s="146"/>
      <c r="BJ16" s="146"/>
    </row>
    <row r="17" spans="1:62">
      <c r="A17" s="142"/>
      <c r="B17" s="142"/>
      <c r="C17" s="142"/>
      <c r="E17" s="142"/>
      <c r="F17" s="142"/>
      <c r="G17" s="142"/>
      <c r="AM17" s="144"/>
      <c r="AN17" s="146"/>
      <c r="BE17" s="146"/>
      <c r="BG17" s="89"/>
    </row>
    <row r="18" spans="1:62" ht="7.5" customHeight="1">
      <c r="A18" s="160"/>
      <c r="B18" s="160"/>
      <c r="C18" s="160"/>
      <c r="D18" s="161"/>
      <c r="E18" s="160"/>
      <c r="F18" s="160"/>
      <c r="G18" s="16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1"/>
      <c r="S18" s="162"/>
      <c r="T18" s="162"/>
      <c r="U18" s="162"/>
      <c r="V18" s="162"/>
      <c r="W18" s="162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M18" s="164"/>
      <c r="AN18" s="161"/>
      <c r="AO18" s="162"/>
      <c r="AP18" s="165"/>
      <c r="AQ18" s="165"/>
      <c r="AR18" s="165"/>
      <c r="AS18" s="161"/>
      <c r="AT18" s="165"/>
      <c r="AU18" s="165"/>
      <c r="AV18" s="165"/>
      <c r="AW18" s="165"/>
      <c r="AX18" s="161"/>
      <c r="AY18" s="165"/>
      <c r="AZ18" s="161"/>
      <c r="BA18" s="161"/>
      <c r="BB18" s="162"/>
      <c r="BC18" s="162"/>
      <c r="BD18" s="162"/>
      <c r="BE18" s="162"/>
      <c r="BF18" s="161"/>
      <c r="BG18" s="166"/>
      <c r="BH18" s="162"/>
      <c r="BI18" s="146"/>
      <c r="BJ18" s="146"/>
    </row>
    <row r="19" spans="1:62" ht="7.5" customHeight="1">
      <c r="A19" s="142"/>
      <c r="B19" s="142"/>
      <c r="C19" s="142"/>
      <c r="E19" s="142"/>
      <c r="F19" s="142"/>
      <c r="G19" s="142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S19" s="146"/>
      <c r="T19" s="146"/>
      <c r="U19" s="146"/>
      <c r="V19" s="146"/>
      <c r="W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3"/>
      <c r="AM19" s="144"/>
      <c r="AO19" s="146"/>
      <c r="AP19" s="86"/>
      <c r="AQ19" s="86"/>
      <c r="AR19" s="86"/>
      <c r="AT19" s="86"/>
      <c r="AU19" s="86"/>
      <c r="AV19" s="86"/>
      <c r="AW19" s="86"/>
      <c r="AY19" s="86"/>
      <c r="BB19" s="146"/>
      <c r="BC19" s="146"/>
      <c r="BD19" s="146"/>
      <c r="BE19" s="146"/>
      <c r="BG19" s="89"/>
      <c r="BH19" s="146"/>
      <c r="BI19" s="146"/>
      <c r="BJ19" s="146"/>
    </row>
    <row r="20" spans="1:62" ht="23.25">
      <c r="A20" s="142"/>
      <c r="B20" s="142"/>
      <c r="C20" s="142"/>
      <c r="E20" s="142"/>
      <c r="F20" s="173" t="s">
        <v>548</v>
      </c>
      <c r="G20" s="142"/>
      <c r="AM20" s="144"/>
      <c r="AN20" s="146"/>
      <c r="BE20" s="146"/>
      <c r="BG20" s="89"/>
    </row>
    <row r="21" spans="1:62" ht="16.5" customHeight="1">
      <c r="A21" s="142"/>
      <c r="B21" s="142"/>
      <c r="C21" s="142"/>
      <c r="E21" s="142"/>
      <c r="F21" s="158"/>
      <c r="G21" s="142"/>
      <c r="AM21" s="144"/>
      <c r="AN21" s="146"/>
      <c r="BE21" s="146"/>
      <c r="BG21" s="89"/>
    </row>
    <row r="22" spans="1:62" s="136" customFormat="1">
      <c r="A22" s="11"/>
      <c r="B22" s="11"/>
      <c r="C22" s="11"/>
      <c r="D22" s="11"/>
      <c r="E22" s="30" t="s">
        <v>546</v>
      </c>
      <c r="F22" s="171" t="s">
        <v>547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43"/>
      <c r="AM22" s="144"/>
      <c r="AN22" s="146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46"/>
      <c r="BF22" s="11"/>
      <c r="BG22" s="11"/>
      <c r="BH22" s="11"/>
      <c r="BI22" s="11"/>
      <c r="BJ22" s="11"/>
    </row>
    <row r="23" spans="1:62">
      <c r="A23" s="155" t="s">
        <v>617</v>
      </c>
      <c r="B23" s="152" t="s">
        <v>582</v>
      </c>
      <c r="C23" s="152" t="s">
        <v>63</v>
      </c>
      <c r="D23" s="152" t="s">
        <v>85</v>
      </c>
      <c r="E23" s="167" t="s">
        <v>580</v>
      </c>
      <c r="F23" s="172" t="s">
        <v>616</v>
      </c>
      <c r="G23" s="170"/>
      <c r="AL23" s="143"/>
      <c r="AM23" s="144"/>
      <c r="AN23" s="146"/>
      <c r="BE23" s="146"/>
    </row>
    <row r="24" spans="1:62">
      <c r="A24" s="168" t="s">
        <v>615</v>
      </c>
      <c r="B24" s="152" t="s">
        <v>582</v>
      </c>
      <c r="C24" s="152" t="s">
        <v>63</v>
      </c>
      <c r="D24" s="152" t="s">
        <v>85</v>
      </c>
      <c r="E24" s="167" t="s">
        <v>580</v>
      </c>
      <c r="F24" s="169" t="s">
        <v>586</v>
      </c>
      <c r="G24" s="170"/>
      <c r="AL24" s="143"/>
      <c r="AM24" s="144"/>
      <c r="AN24" s="146"/>
      <c r="BE24" s="146"/>
    </row>
    <row r="25" spans="1:62">
      <c r="A25" s="168" t="s">
        <v>614</v>
      </c>
      <c r="B25" s="152" t="s">
        <v>582</v>
      </c>
      <c r="C25" s="152" t="s">
        <v>63</v>
      </c>
      <c r="D25" s="152" t="s">
        <v>85</v>
      </c>
      <c r="E25" s="167" t="s">
        <v>580</v>
      </c>
      <c r="F25" s="169" t="s">
        <v>586</v>
      </c>
      <c r="G25" s="170"/>
      <c r="S25" s="146"/>
      <c r="T25" s="146"/>
      <c r="U25" s="146"/>
      <c r="W25" s="146"/>
      <c r="Y25" s="146"/>
      <c r="Z25" s="146"/>
      <c r="AB25" s="146"/>
      <c r="AC25" s="146"/>
      <c r="AE25" s="146"/>
      <c r="AF25" s="146"/>
      <c r="AG25" s="146"/>
      <c r="AH25" s="146"/>
      <c r="AI25" s="146"/>
      <c r="AJ25" s="146"/>
      <c r="AK25" s="146"/>
      <c r="AL25" s="143"/>
      <c r="AM25" s="144"/>
      <c r="AN25" s="146"/>
      <c r="AO25" s="146"/>
      <c r="AQ25" s="146"/>
      <c r="AR25" s="146"/>
      <c r="AS25" s="146"/>
      <c r="AT25" s="146"/>
      <c r="AU25" s="146"/>
      <c r="AV25" s="146"/>
      <c r="AW25" s="146"/>
      <c r="AX25" s="146"/>
      <c r="AY25" s="146"/>
      <c r="BA25" s="146"/>
      <c r="BB25" s="146"/>
      <c r="BC25" s="146"/>
      <c r="BD25" s="146"/>
      <c r="BE25" s="146"/>
      <c r="BF25" s="146"/>
      <c r="BG25" s="89"/>
      <c r="BH25" s="146"/>
      <c r="BI25" s="146"/>
      <c r="BJ25" s="146"/>
    </row>
    <row r="26" spans="1:62" s="136" customFormat="1">
      <c r="A26" s="155" t="s">
        <v>613</v>
      </c>
      <c r="B26" s="152" t="s">
        <v>541</v>
      </c>
      <c r="C26" s="152" t="s">
        <v>105</v>
      </c>
      <c r="D26" s="152" t="s">
        <v>104</v>
      </c>
      <c r="E26" s="167" t="s">
        <v>612</v>
      </c>
      <c r="F26" s="172" t="s">
        <v>611</v>
      </c>
      <c r="G26" s="17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s="136" customFormat="1">
      <c r="A27" s="155" t="s">
        <v>610</v>
      </c>
      <c r="B27" s="151" t="s">
        <v>582</v>
      </c>
      <c r="C27" s="152" t="s">
        <v>597</v>
      </c>
      <c r="D27" s="152" t="s">
        <v>172</v>
      </c>
      <c r="E27" s="167" t="s">
        <v>580</v>
      </c>
      <c r="F27" s="172" t="s">
        <v>609</v>
      </c>
      <c r="G27" s="17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s="136" customFormat="1">
      <c r="A28" s="155" t="s">
        <v>608</v>
      </c>
      <c r="B28" s="152" t="s">
        <v>541</v>
      </c>
      <c r="C28" s="152" t="s">
        <v>597</v>
      </c>
      <c r="D28" s="152" t="s">
        <v>172</v>
      </c>
      <c r="E28" s="167" t="s">
        <v>580</v>
      </c>
      <c r="F28" s="172" t="s">
        <v>607</v>
      </c>
      <c r="G28" s="17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s="136" customFormat="1">
      <c r="A29" s="155" t="s">
        <v>606</v>
      </c>
      <c r="B29" s="152" t="s">
        <v>541</v>
      </c>
      <c r="C29" s="152" t="s">
        <v>597</v>
      </c>
      <c r="D29" s="152" t="s">
        <v>172</v>
      </c>
      <c r="E29" s="167" t="s">
        <v>580</v>
      </c>
      <c r="F29" s="172" t="s">
        <v>605</v>
      </c>
      <c r="G29" s="17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s="136" customFormat="1">
      <c r="A30" s="168" t="s">
        <v>604</v>
      </c>
      <c r="B30" s="152" t="s">
        <v>541</v>
      </c>
      <c r="C30" s="152" t="s">
        <v>63</v>
      </c>
      <c r="D30" s="152" t="s">
        <v>85</v>
      </c>
      <c r="E30" s="167" t="s">
        <v>580</v>
      </c>
      <c r="F30" s="169" t="s">
        <v>586</v>
      </c>
      <c r="G30" s="17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s="136" customFormat="1">
      <c r="A31" s="168" t="s">
        <v>603</v>
      </c>
      <c r="B31" s="152" t="s">
        <v>541</v>
      </c>
      <c r="C31" s="152" t="s">
        <v>63</v>
      </c>
      <c r="D31" s="152" t="s">
        <v>85</v>
      </c>
      <c r="E31" s="167" t="s">
        <v>580</v>
      </c>
      <c r="F31" s="169" t="s">
        <v>586</v>
      </c>
      <c r="G31" s="17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s="136" customFormat="1">
      <c r="A32" s="168" t="s">
        <v>602</v>
      </c>
      <c r="B32" s="152" t="s">
        <v>541</v>
      </c>
      <c r="C32" s="152" t="s">
        <v>63</v>
      </c>
      <c r="D32" s="152" t="s">
        <v>85</v>
      </c>
      <c r="E32" s="167" t="s">
        <v>580</v>
      </c>
      <c r="F32" s="169" t="s">
        <v>586</v>
      </c>
      <c r="G32" s="17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 s="136" customFormat="1">
      <c r="A33" s="168" t="s">
        <v>601</v>
      </c>
      <c r="B33" s="152" t="s">
        <v>541</v>
      </c>
      <c r="C33" s="152" t="s">
        <v>63</v>
      </c>
      <c r="D33" s="152" t="s">
        <v>85</v>
      </c>
      <c r="E33" s="167" t="s">
        <v>580</v>
      </c>
      <c r="F33" s="169" t="s">
        <v>586</v>
      </c>
      <c r="G33" s="17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s="136" customFormat="1">
      <c r="A34" s="155" t="s">
        <v>600</v>
      </c>
      <c r="B34" s="152" t="s">
        <v>541</v>
      </c>
      <c r="C34" s="152" t="s">
        <v>597</v>
      </c>
      <c r="D34" s="152" t="s">
        <v>172</v>
      </c>
      <c r="E34" s="167" t="s">
        <v>580</v>
      </c>
      <c r="F34" s="172" t="s">
        <v>599</v>
      </c>
      <c r="G34" s="17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s="136" customFormat="1">
      <c r="A35" s="155" t="s">
        <v>598</v>
      </c>
      <c r="B35" s="152" t="s">
        <v>541</v>
      </c>
      <c r="C35" s="152" t="s">
        <v>597</v>
      </c>
      <c r="D35" s="152" t="s">
        <v>172</v>
      </c>
      <c r="E35" s="167" t="s">
        <v>580</v>
      </c>
      <c r="F35" s="172" t="s">
        <v>596</v>
      </c>
      <c r="G35" s="17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s="136" customFormat="1">
      <c r="A36" s="155" t="s">
        <v>595</v>
      </c>
      <c r="B36" s="152" t="s">
        <v>541</v>
      </c>
      <c r="C36" s="152" t="s">
        <v>592</v>
      </c>
      <c r="D36" s="152" t="s">
        <v>591</v>
      </c>
      <c r="E36" s="167" t="s">
        <v>580</v>
      </c>
      <c r="F36" s="172" t="s">
        <v>594</v>
      </c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s="136" customFormat="1">
      <c r="A37" s="155" t="s">
        <v>593</v>
      </c>
      <c r="B37" s="152" t="s">
        <v>541</v>
      </c>
      <c r="C37" s="152" t="s">
        <v>592</v>
      </c>
      <c r="D37" s="152" t="s">
        <v>591</v>
      </c>
      <c r="E37" s="167" t="s">
        <v>580</v>
      </c>
      <c r="F37" s="172" t="s">
        <v>590</v>
      </c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s="136" customFormat="1">
      <c r="A38" s="168" t="s">
        <v>589</v>
      </c>
      <c r="B38" s="152" t="s">
        <v>541</v>
      </c>
      <c r="C38" s="152" t="s">
        <v>342</v>
      </c>
      <c r="D38" s="152" t="s">
        <v>587</v>
      </c>
      <c r="E38" s="167" t="s">
        <v>580</v>
      </c>
      <c r="F38" s="169" t="s">
        <v>586</v>
      </c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s="136" customFormat="1">
      <c r="A39" s="168" t="s">
        <v>588</v>
      </c>
      <c r="B39" s="152" t="s">
        <v>541</v>
      </c>
      <c r="C39" s="152" t="s">
        <v>342</v>
      </c>
      <c r="D39" s="152" t="s">
        <v>587</v>
      </c>
      <c r="E39" s="167" t="s">
        <v>580</v>
      </c>
      <c r="F39" s="169" t="s">
        <v>586</v>
      </c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s="136" customFormat="1">
      <c r="A40" s="155" t="s">
        <v>585</v>
      </c>
      <c r="B40" s="151" t="s">
        <v>582</v>
      </c>
      <c r="C40" s="152" t="s">
        <v>581</v>
      </c>
      <c r="D40" s="152" t="s">
        <v>581</v>
      </c>
      <c r="E40" s="167" t="s">
        <v>580</v>
      </c>
      <c r="F40" s="172" t="s">
        <v>584</v>
      </c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s="136" customFormat="1">
      <c r="A41" s="155" t="s">
        <v>583</v>
      </c>
      <c r="B41" s="151" t="s">
        <v>582</v>
      </c>
      <c r="C41" s="152" t="s">
        <v>581</v>
      </c>
      <c r="D41" s="152" t="s">
        <v>581</v>
      </c>
      <c r="E41" s="167" t="s">
        <v>580</v>
      </c>
      <c r="F41" s="172" t="s">
        <v>579</v>
      </c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s="136" customFormat="1">
      <c r="A42" s="146"/>
      <c r="B42" s="146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s="136" customFormat="1">
      <c r="A43" s="146"/>
      <c r="B43" s="146"/>
      <c r="C43" s="11"/>
      <c r="D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s="136" customFormat="1">
      <c r="A44" s="146"/>
      <c r="B44" s="146"/>
      <c r="C44" s="11"/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s="136" customFormat="1">
      <c r="A45" s="146"/>
      <c r="B45" s="146"/>
      <c r="C45" s="11"/>
      <c r="D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s="136" customFormat="1">
      <c r="A46" s="146"/>
      <c r="B46" s="146"/>
      <c r="C46" s="11"/>
      <c r="D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s="136" customFormat="1">
      <c r="A47" s="146"/>
      <c r="B47" s="146"/>
      <c r="C47" s="11"/>
      <c r="D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s="136" customFormat="1">
      <c r="A48" s="146"/>
      <c r="B48" s="146"/>
      <c r="C48" s="11"/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s="136" customFormat="1">
      <c r="A49" s="146"/>
      <c r="B49" s="146"/>
      <c r="C49" s="11"/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s="136" customFormat="1">
      <c r="A50" s="146"/>
      <c r="B50" s="146"/>
      <c r="C50" s="11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s="136" customFormat="1">
      <c r="A51" s="146"/>
      <c r="B51" s="146"/>
      <c r="C51" s="11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s="136" customFormat="1">
      <c r="A52" s="146"/>
      <c r="B52" s="146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s="136" customFormat="1">
      <c r="A53" s="146"/>
      <c r="B53" s="146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 s="136" customFormat="1">
      <c r="A54" s="146"/>
      <c r="B54" s="146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s="136" customFormat="1">
      <c r="A55" s="146"/>
      <c r="B55" s="146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s="136" customFormat="1">
      <c r="A56" s="146"/>
      <c r="B56" s="146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s="136" customFormat="1">
      <c r="A57" s="146"/>
      <c r="B57" s="146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s="136" customFormat="1">
      <c r="A58" s="146"/>
      <c r="B58" s="146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s="136" customFormat="1">
      <c r="A59" s="146"/>
      <c r="B59" s="146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s="136" customFormat="1">
      <c r="A60" s="146"/>
      <c r="B60" s="146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s="136" customFormat="1">
      <c r="A61" s="146"/>
      <c r="B61" s="146"/>
      <c r="C61" s="11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s="136" customFormat="1">
      <c r="A62" s="146"/>
      <c r="B62" s="146"/>
      <c r="C62" s="11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s="136" customFormat="1">
      <c r="A63" s="146"/>
      <c r="B63" s="146"/>
      <c r="C63" s="11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s="136" customFormat="1">
      <c r="A64" s="146"/>
      <c r="B64" s="146"/>
      <c r="C64" s="11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s="136" customFormat="1">
      <c r="A65" s="146"/>
      <c r="B65" s="146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s="136" customFormat="1">
      <c r="A66" s="146"/>
      <c r="B66" s="146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s="136" customFormat="1">
      <c r="A67" s="146"/>
      <c r="B67" s="146"/>
      <c r="C67" s="11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s="136" customFormat="1">
      <c r="A68" s="146"/>
      <c r="B68" s="146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s="136" customFormat="1">
      <c r="A69" s="146"/>
      <c r="B69" s="146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s="136" customFormat="1">
      <c r="A70" s="146"/>
      <c r="B70" s="146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s="136" customFormat="1">
      <c r="A71" s="146"/>
      <c r="B71" s="146"/>
      <c r="C71" s="11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s="136" customFormat="1">
      <c r="A72" s="146"/>
      <c r="B72" s="146"/>
      <c r="C72" s="11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s="136" customFormat="1">
      <c r="A73" s="146"/>
      <c r="B73" s="146"/>
      <c r="C73" s="11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s="136" customFormat="1">
      <c r="A74" s="146"/>
      <c r="B74" s="146"/>
      <c r="C74" s="11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s="136" customFormat="1">
      <c r="A75" s="146"/>
      <c r="B75" s="146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s="136" customFormat="1">
      <c r="A76" s="146"/>
      <c r="B76" s="146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s="136" customFormat="1">
      <c r="A77" s="146"/>
      <c r="B77" s="146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s="136" customFormat="1">
      <c r="A78" s="146"/>
      <c r="B78" s="146"/>
      <c r="C78" s="11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s="136" customFormat="1">
      <c r="A79" s="146"/>
      <c r="B79" s="146"/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s="136" customFormat="1">
      <c r="A80" s="146"/>
      <c r="B80" s="146"/>
      <c r="C80" s="11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s="136" customFormat="1">
      <c r="A81" s="146"/>
      <c r="B81" s="146"/>
      <c r="C81" s="11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s="136" customFormat="1">
      <c r="A82" s="146"/>
      <c r="B82" s="146"/>
      <c r="C82" s="11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s="136" customFormat="1">
      <c r="A83" s="146"/>
      <c r="B83" s="146"/>
      <c r="C83" s="11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s="136" customFormat="1">
      <c r="A84" s="146"/>
      <c r="B84" s="146"/>
      <c r="C84" s="11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s="136" customFormat="1">
      <c r="A85" s="146"/>
      <c r="B85" s="146"/>
      <c r="C85" s="11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s="136" customFormat="1">
      <c r="A86" s="146"/>
      <c r="B86" s="146"/>
      <c r="C86" s="11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s="136" customFormat="1">
      <c r="A87" s="146"/>
      <c r="B87" s="146"/>
      <c r="C87" s="11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s="136" customFormat="1">
      <c r="A88" s="146"/>
      <c r="B88" s="146"/>
      <c r="C88" s="11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s="136" customFormat="1">
      <c r="A89" s="146"/>
      <c r="B89" s="146"/>
      <c r="C89" s="11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s="136" customFormat="1">
      <c r="A90" s="146"/>
      <c r="B90" s="146"/>
      <c r="C90" s="11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s="136" customFormat="1">
      <c r="A91" s="146"/>
      <c r="B91" s="146"/>
      <c r="C91" s="11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s="136" customFormat="1">
      <c r="A92" s="146"/>
      <c r="B92" s="146"/>
      <c r="C92" s="11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s="136" customFormat="1">
      <c r="A93" s="146"/>
      <c r="B93" s="146"/>
      <c r="C93" s="11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s="136" customFormat="1">
      <c r="A94" s="146"/>
      <c r="B94" s="146"/>
      <c r="C94" s="11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s="136" customFormat="1">
      <c r="A95" s="146"/>
      <c r="B95" s="146"/>
      <c r="C95" s="11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s="136" customFormat="1">
      <c r="A96" s="146"/>
      <c r="B96" s="146"/>
      <c r="C96" s="11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s="136" customFormat="1">
      <c r="A97" s="146"/>
      <c r="B97" s="146"/>
      <c r="C97" s="11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s="136" customFormat="1">
      <c r="A98" s="146"/>
      <c r="B98" s="146"/>
      <c r="C98" s="11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s="136" customFormat="1">
      <c r="A99" s="146"/>
      <c r="B99" s="146"/>
      <c r="C99" s="11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s="136" customFormat="1">
      <c r="A100" s="146"/>
      <c r="B100" s="146"/>
      <c r="C100" s="11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136" customFormat="1">
      <c r="A101" s="146"/>
      <c r="B101" s="146"/>
      <c r="C101" s="11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s="136" customFormat="1">
      <c r="A102" s="146"/>
      <c r="B102" s="146"/>
      <c r="C102" s="11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s="136" customFormat="1">
      <c r="A103" s="146"/>
      <c r="B103" s="146"/>
      <c r="C103" s="11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s="136" customFormat="1">
      <c r="A104" s="146"/>
      <c r="B104" s="146"/>
      <c r="C104" s="11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s="136" customFormat="1">
      <c r="A105" s="146"/>
      <c r="B105" s="146"/>
      <c r="C105" s="11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s="136" customFormat="1">
      <c r="A106" s="146"/>
      <c r="B106" s="146"/>
      <c r="C106" s="11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s="136" customFormat="1">
      <c r="A107" s="146"/>
      <c r="B107" s="146"/>
      <c r="C107" s="11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s="136" customFormat="1">
      <c r="A108" s="146"/>
      <c r="B108" s="146"/>
      <c r="C108" s="11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s="136" customFormat="1">
      <c r="A109" s="146"/>
      <c r="B109" s="146"/>
      <c r="C109" s="11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s="136" customFormat="1">
      <c r="A110" s="146"/>
      <c r="B110" s="146"/>
      <c r="C110" s="11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s="136" customFormat="1">
      <c r="A111" s="146"/>
      <c r="B111" s="146"/>
      <c r="C111" s="11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s="136" customFormat="1">
      <c r="A112" s="146"/>
      <c r="B112" s="146"/>
      <c r="C112" s="11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s="136" customFormat="1">
      <c r="A113" s="146"/>
      <c r="B113" s="146"/>
      <c r="C113" s="11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36" customFormat="1">
      <c r="A114" s="146"/>
      <c r="B114" s="146"/>
      <c r="C114" s="11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s="136" customFormat="1">
      <c r="A115" s="146"/>
      <c r="B115" s="146"/>
      <c r="C115" s="11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s="136" customFormat="1">
      <c r="A116" s="146"/>
      <c r="B116" s="146"/>
      <c r="C116" s="11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1:62" s="136" customFormat="1">
      <c r="A117" s="146"/>
      <c r="B117" s="146"/>
      <c r="C117" s="11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1:62" s="136" customFormat="1">
      <c r="A118" s="146"/>
      <c r="B118" s="146"/>
      <c r="C118" s="11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1:62" s="136" customFormat="1">
      <c r="A119" s="146"/>
      <c r="B119" s="146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1:62" s="136" customFormat="1">
      <c r="A120" s="146"/>
      <c r="B120" s="146"/>
      <c r="C120" s="11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1:62" s="136" customFormat="1">
      <c r="A121" s="146"/>
      <c r="B121" s="146"/>
      <c r="C121" s="11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1:62" s="136" customFormat="1">
      <c r="A122" s="146"/>
      <c r="B122" s="146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1:62" s="136" customFormat="1">
      <c r="A123" s="146"/>
      <c r="B123" s="146"/>
      <c r="C123" s="11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1:62" s="136" customFormat="1">
      <c r="A124" s="146"/>
      <c r="B124" s="146"/>
      <c r="C124" s="11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1:62" s="136" customFormat="1">
      <c r="A125" s="146"/>
      <c r="B125" s="146"/>
      <c r="C125" s="11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1:62" s="136" customFormat="1">
      <c r="A126" s="146"/>
      <c r="B126" s="146"/>
      <c r="C126" s="11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136" customFormat="1">
      <c r="A127" s="146"/>
      <c r="B127" s="146"/>
      <c r="C127" s="11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136" customFormat="1">
      <c r="A128" s="146"/>
      <c r="B128" s="146"/>
      <c r="C128" s="11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1:62" s="136" customFormat="1">
      <c r="A129" s="146"/>
      <c r="B129" s="146"/>
      <c r="C129" s="11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1:62" s="136" customFormat="1">
      <c r="A130" s="146"/>
      <c r="B130" s="146"/>
      <c r="C130" s="11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136" customFormat="1">
      <c r="A131" s="146"/>
      <c r="B131" s="146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136" customFormat="1">
      <c r="A132" s="146"/>
      <c r="B132" s="146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1:62" s="136" customFormat="1">
      <c r="A133" s="146"/>
      <c r="B133" s="146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1:62" s="136" customFormat="1">
      <c r="A134" s="146"/>
      <c r="B134" s="146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1:62" s="136" customFormat="1">
      <c r="A135" s="146"/>
      <c r="B135" s="146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1:62" s="136" customFormat="1">
      <c r="A136" s="146"/>
      <c r="B136" s="146"/>
      <c r="C136" s="11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1:62" s="136" customFormat="1">
      <c r="A137" s="146"/>
      <c r="B137" s="146"/>
      <c r="C137" s="11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2" s="136" customFormat="1">
      <c r="A138" s="146"/>
      <c r="B138" s="146"/>
      <c r="C138" s="11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s="136" customFormat="1">
      <c r="A139" s="146"/>
      <c r="B139" s="146"/>
      <c r="C139" s="11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s="136" customFormat="1">
      <c r="A140" s="146"/>
      <c r="B140" s="146"/>
      <c r="C140" s="11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s="136" customFormat="1">
      <c r="A141" s="146"/>
      <c r="B141" s="146"/>
      <c r="C141" s="11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 s="136" customFormat="1">
      <c r="A142" s="146"/>
      <c r="B142" s="146"/>
      <c r="C142" s="11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 s="136" customFormat="1">
      <c r="A143" s="146"/>
      <c r="B143" s="146"/>
      <c r="C143" s="11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 s="136" customFormat="1">
      <c r="A144" s="146"/>
      <c r="B144" s="146"/>
      <c r="C144" s="11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</sheetData>
  <mergeCells count="1">
    <mergeCell ref="AP6:AT6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C6" activePane="bottomRight" state="frozen"/>
      <selection activeCell="B24" sqref="B24"/>
      <selection pane="topRight" activeCell="B24" sqref="B24"/>
      <selection pane="bottomLeft" activeCell="B24" sqref="B24"/>
      <selection pane="bottomRight" activeCell="C6" sqref="C6"/>
    </sheetView>
  </sheetViews>
  <sheetFormatPr defaultRowHeight="15"/>
  <cols>
    <col min="1" max="1" width="13.7109375" style="145" customWidth="1"/>
    <col min="2" max="2" width="53" style="3" customWidth="1"/>
    <col min="3" max="3" width="12.5703125" style="3" customWidth="1"/>
    <col min="4" max="4" width="58" style="8" customWidth="1"/>
    <col min="5" max="5" width="28.5703125" style="11" customWidth="1"/>
    <col min="6" max="6" width="18.5703125" style="11" customWidth="1"/>
    <col min="7" max="7" width="16.140625" style="11" customWidth="1"/>
    <col min="8" max="16" width="15.140625" style="11" customWidth="1"/>
    <col min="17" max="17" width="14.42578125" style="11" customWidth="1"/>
    <col min="18" max="18" width="11.42578125" style="11" customWidth="1"/>
    <col min="19" max="22" width="10.7109375" style="11" customWidth="1"/>
    <col min="23" max="23" width="16" style="11" customWidth="1"/>
    <col min="24" max="24" width="11.85546875" style="11" customWidth="1"/>
    <col min="25" max="25" width="10.7109375" style="11" customWidth="1"/>
    <col min="26" max="26" width="10.42578125" style="11" customWidth="1"/>
    <col min="27" max="27" width="9.7109375" style="11" customWidth="1"/>
    <col min="28" max="28" width="16.7109375" style="11" customWidth="1"/>
    <col min="29" max="29" width="16.42578125" style="11" customWidth="1"/>
    <col min="30" max="33" width="10.7109375" style="11" customWidth="1"/>
    <col min="34" max="34" width="14.140625" style="11" customWidth="1"/>
    <col min="35" max="35" width="10.7109375" style="11" customWidth="1"/>
    <col min="36" max="36" width="9.140625" style="11" customWidth="1"/>
    <col min="37" max="37" width="9.140625" style="12" customWidth="1"/>
    <col min="38" max="38" width="11.5703125" style="13" customWidth="1"/>
    <col min="39" max="39" width="17.85546875" style="11" customWidth="1"/>
    <col min="40" max="40" width="16.85546875" style="11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1" ht="23.25">
      <c r="E2" s="9" t="s">
        <v>64</v>
      </c>
      <c r="F2" s="9"/>
      <c r="G2" s="10"/>
    </row>
    <row r="4" spans="1:61" ht="15.75">
      <c r="B4" s="15" t="s">
        <v>17</v>
      </c>
      <c r="C4" s="15"/>
      <c r="G4" s="16" t="s">
        <v>15</v>
      </c>
      <c r="H4" s="17"/>
      <c r="I4" s="17"/>
      <c r="J4" s="17"/>
      <c r="K4" s="17"/>
      <c r="L4" s="17"/>
      <c r="M4" s="17"/>
      <c r="N4" s="17"/>
      <c r="O4" s="17"/>
      <c r="P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2"/>
      <c r="AM4" s="20" t="s">
        <v>19</v>
      </c>
      <c r="AN4" s="21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1" ht="30">
      <c r="A5" s="27" t="s">
        <v>0</v>
      </c>
      <c r="B5" s="28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57</v>
      </c>
      <c r="K5" s="31" t="s">
        <v>54</v>
      </c>
      <c r="L5" s="31" t="s">
        <v>58</v>
      </c>
      <c r="M5" s="31" t="s">
        <v>59</v>
      </c>
      <c r="N5" s="31" t="s">
        <v>60</v>
      </c>
      <c r="O5" s="31" t="s">
        <v>61</v>
      </c>
      <c r="P5" s="31" t="s">
        <v>62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4" t="s">
        <v>20</v>
      </c>
      <c r="AL5" s="41" t="s">
        <v>21</v>
      </c>
      <c r="AM5" s="33" t="s">
        <v>18</v>
      </c>
      <c r="AN5" s="33" t="s">
        <v>55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1" s="39" customFormat="1" ht="195">
      <c r="A6" s="147" t="s">
        <v>536</v>
      </c>
      <c r="B6" s="147" t="s">
        <v>537</v>
      </c>
      <c r="C6" s="147" t="s">
        <v>63</v>
      </c>
      <c r="D6" s="45" t="s">
        <v>538</v>
      </c>
      <c r="E6" s="50" t="s">
        <v>66</v>
      </c>
      <c r="F6" s="11">
        <v>87517153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5"/>
      <c r="S6" s="145"/>
      <c r="T6" s="145"/>
      <c r="U6" s="11" t="s">
        <v>539</v>
      </c>
      <c r="V6" s="145"/>
      <c r="W6" s="11"/>
      <c r="X6" s="145"/>
      <c r="Y6" s="145"/>
      <c r="Z6" s="11"/>
      <c r="AA6" s="145"/>
      <c r="AB6" s="145"/>
      <c r="AC6" s="11"/>
      <c r="AD6" s="145"/>
      <c r="AE6" s="145"/>
      <c r="AF6" s="145"/>
      <c r="AG6" s="145"/>
      <c r="AH6" s="145"/>
      <c r="AI6" s="145"/>
      <c r="AJ6" s="145"/>
      <c r="AK6" s="43">
        <v>94.9</v>
      </c>
      <c r="AL6" s="40">
        <f>AK6/0.444</f>
        <v>213.73873873873876</v>
      </c>
      <c r="AM6" s="148">
        <v>10038568737837</v>
      </c>
      <c r="AN6" s="149" t="s">
        <v>540</v>
      </c>
      <c r="AP6" s="4"/>
      <c r="AQ6" s="4"/>
      <c r="AR6" s="4"/>
      <c r="AS6" s="4"/>
      <c r="AT6" s="4">
        <v>10.75</v>
      </c>
      <c r="AU6" s="4">
        <v>7.12</v>
      </c>
      <c r="AV6" s="4">
        <v>6.25</v>
      </c>
      <c r="AW6" s="4"/>
      <c r="AX6" s="4">
        <v>1</v>
      </c>
      <c r="AY6" s="46"/>
      <c r="AZ6" s="4"/>
      <c r="BA6" s="4">
        <v>35</v>
      </c>
      <c r="BB6" s="4">
        <v>4</v>
      </c>
      <c r="BC6" s="4"/>
      <c r="BD6" s="4"/>
      <c r="BE6" s="4" t="s">
        <v>65</v>
      </c>
      <c r="BF6" s="47"/>
      <c r="BG6" s="4"/>
      <c r="BH6" s="145"/>
      <c r="BI6" s="145"/>
    </row>
    <row r="7" spans="1:61" s="39" customFormat="1">
      <c r="A7" s="44"/>
      <c r="B7" s="44"/>
      <c r="C7" s="14"/>
      <c r="E7" s="48"/>
      <c r="F7" s="4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3"/>
      <c r="AL7" s="40"/>
      <c r="AM7" s="14"/>
      <c r="AO7" s="1"/>
      <c r="AP7" s="1"/>
      <c r="AQ7" s="1"/>
      <c r="AR7" s="46"/>
      <c r="AS7" s="1"/>
      <c r="AT7" s="1"/>
      <c r="AU7" s="1"/>
      <c r="AV7" s="1"/>
      <c r="AW7" s="46"/>
      <c r="AX7" s="1"/>
      <c r="AY7" s="46"/>
      <c r="AZ7" s="46"/>
      <c r="BA7" s="46"/>
      <c r="BB7" s="46"/>
      <c r="BC7" s="4"/>
      <c r="BD7" s="4"/>
      <c r="BE7" s="46"/>
      <c r="BF7" s="47"/>
      <c r="BG7" s="46"/>
      <c r="BH7" s="11"/>
      <c r="BI7" s="11"/>
    </row>
    <row r="8" spans="1:61" s="39" customFormat="1">
      <c r="A8" s="44"/>
      <c r="B8" s="44"/>
      <c r="C8" s="14"/>
      <c r="D8" s="45"/>
      <c r="E8" s="48"/>
      <c r="F8" s="48"/>
      <c r="G8" s="11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1"/>
      <c r="X8" s="11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43"/>
      <c r="AL8" s="40"/>
      <c r="AM8" s="14"/>
      <c r="AN8" s="4"/>
      <c r="AO8" s="1"/>
      <c r="AP8" s="1"/>
      <c r="AQ8" s="1"/>
      <c r="AR8" s="46"/>
      <c r="AS8" s="1"/>
      <c r="AT8" s="1"/>
      <c r="AU8" s="1"/>
      <c r="AV8" s="1"/>
      <c r="AW8" s="46"/>
      <c r="AX8" s="1"/>
      <c r="AY8" s="46"/>
      <c r="AZ8" s="46"/>
      <c r="BA8" s="4"/>
      <c r="BB8" s="4"/>
      <c r="BC8" s="4"/>
      <c r="BD8" s="4"/>
      <c r="BE8" s="46"/>
      <c r="BF8" s="47"/>
      <c r="BG8" s="4"/>
      <c r="BH8" s="145"/>
      <c r="BI8" s="145"/>
    </row>
    <row r="9" spans="1:61" s="39" customFormat="1">
      <c r="A9" s="44"/>
      <c r="B9" s="44"/>
      <c r="C9" s="14"/>
      <c r="D9" s="45"/>
      <c r="E9" s="48"/>
      <c r="F9" s="48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1"/>
      <c r="AK9" s="43"/>
      <c r="AL9" s="40"/>
      <c r="AM9" s="14"/>
      <c r="AN9" s="4"/>
      <c r="AO9" s="1"/>
      <c r="AP9" s="1"/>
      <c r="AQ9" s="1"/>
      <c r="AR9" s="46"/>
      <c r="AS9" s="1"/>
      <c r="AT9" s="1"/>
      <c r="AU9" s="1"/>
      <c r="AV9" s="1"/>
      <c r="AW9" s="46"/>
      <c r="AX9" s="1"/>
      <c r="AY9" s="46"/>
      <c r="AZ9" s="46"/>
      <c r="BA9" s="4"/>
      <c r="BB9" s="4"/>
      <c r="BC9" s="4"/>
      <c r="BD9" s="4"/>
      <c r="BE9" s="46"/>
      <c r="BF9" s="47"/>
      <c r="BG9" s="4"/>
      <c r="BH9" s="145"/>
      <c r="BI9" s="145"/>
    </row>
    <row r="10" spans="1:61" s="39" customFormat="1">
      <c r="A10" s="44"/>
      <c r="B10" s="44"/>
      <c r="C10" s="14"/>
      <c r="D10" s="45"/>
      <c r="E10" s="48"/>
      <c r="F10" s="4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43"/>
      <c r="AL10" s="40"/>
      <c r="AM10" s="14"/>
      <c r="AN10" s="11"/>
      <c r="AO10" s="1"/>
      <c r="AP10" s="1"/>
      <c r="AQ10" s="1"/>
      <c r="AR10" s="46"/>
      <c r="AS10" s="1"/>
      <c r="AT10" s="1"/>
      <c r="AU10" s="1"/>
      <c r="AV10" s="1"/>
      <c r="AW10" s="46"/>
      <c r="AX10" s="1"/>
      <c r="AY10" s="46"/>
      <c r="AZ10" s="46"/>
      <c r="BA10" s="11"/>
      <c r="BB10" s="11"/>
      <c r="BC10" s="4"/>
      <c r="BD10" s="4"/>
      <c r="BE10" s="46"/>
      <c r="BF10" s="47"/>
      <c r="BG10" s="11"/>
      <c r="BH10" s="11"/>
      <c r="BI10" s="11"/>
    </row>
    <row r="11" spans="1:61" s="39" customFormat="1">
      <c r="A11" s="44"/>
      <c r="B11" s="44"/>
      <c r="C11" s="14"/>
      <c r="D11" s="45"/>
      <c r="E11" s="48"/>
      <c r="F11" s="4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43"/>
      <c r="AL11" s="40"/>
      <c r="AM11" s="14"/>
      <c r="AN11" s="11"/>
      <c r="AO11" s="1"/>
      <c r="AP11" s="1"/>
      <c r="AQ11" s="1"/>
      <c r="AR11" s="46"/>
      <c r="AS11" s="1"/>
      <c r="AT11" s="1"/>
      <c r="AU11" s="1"/>
      <c r="AV11" s="1"/>
      <c r="AW11" s="46"/>
      <c r="AX11" s="1"/>
      <c r="AY11" s="46"/>
      <c r="AZ11" s="46"/>
      <c r="BA11" s="11"/>
      <c r="BB11" s="11"/>
      <c r="BC11" s="4"/>
      <c r="BD11" s="4"/>
      <c r="BE11" s="46"/>
      <c r="BF11" s="47"/>
      <c r="BG11" s="11"/>
      <c r="BH11" s="11"/>
      <c r="BI11" s="11"/>
    </row>
    <row r="12" spans="1:61" s="39" customFormat="1">
      <c r="A12" s="44"/>
      <c r="B12" s="44"/>
      <c r="C12" s="14"/>
      <c r="D12" s="45"/>
      <c r="E12" s="49"/>
      <c r="F12" s="49"/>
      <c r="G12" s="11"/>
      <c r="H12" s="145"/>
      <c r="I12" s="145"/>
      <c r="J12" s="145"/>
      <c r="K12" s="145"/>
      <c r="L12" s="145"/>
      <c r="M12" s="145"/>
      <c r="N12" s="145"/>
      <c r="O12" s="145"/>
      <c r="P12" s="145"/>
      <c r="Q12" s="11"/>
      <c r="R12" s="145"/>
      <c r="S12" s="145"/>
      <c r="T12" s="145"/>
      <c r="U12" s="11"/>
      <c r="V12" s="145"/>
      <c r="W12" s="11"/>
      <c r="X12" s="145"/>
      <c r="Y12" s="145"/>
      <c r="Z12" s="145"/>
      <c r="AA12" s="145"/>
      <c r="AB12" s="145"/>
      <c r="AC12" s="11"/>
      <c r="AD12" s="145"/>
      <c r="AE12" s="145"/>
      <c r="AF12" s="145"/>
      <c r="AG12" s="145"/>
      <c r="AH12" s="145"/>
      <c r="AI12" s="145"/>
      <c r="AJ12" s="145"/>
      <c r="AK12" s="43"/>
      <c r="AL12" s="40"/>
      <c r="AM12" s="14"/>
      <c r="AN12" s="4"/>
      <c r="AO12" s="1"/>
      <c r="AP12" s="1"/>
      <c r="AQ12" s="1"/>
      <c r="AR12" s="46"/>
      <c r="AS12" s="1"/>
      <c r="AT12" s="1"/>
      <c r="AU12" s="1"/>
      <c r="AV12" s="1"/>
      <c r="AW12" s="46"/>
      <c r="AX12" s="1"/>
      <c r="AY12" s="46"/>
      <c r="AZ12" s="46"/>
      <c r="BA12" s="4"/>
      <c r="BB12" s="4"/>
      <c r="BC12" s="4"/>
      <c r="BD12" s="4"/>
      <c r="BE12" s="46"/>
      <c r="BF12" s="47"/>
      <c r="BG12" s="4"/>
      <c r="BH12" s="145"/>
      <c r="BI12" s="145"/>
    </row>
    <row r="13" spans="1:61" s="39" customFormat="1">
      <c r="A13" s="44"/>
      <c r="B13" s="44"/>
      <c r="C13" s="14"/>
      <c r="D13" s="45"/>
      <c r="E13" s="49"/>
      <c r="F13" s="49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1"/>
      <c r="R13" s="145"/>
      <c r="S13" s="145"/>
      <c r="T13" s="145"/>
      <c r="U13" s="145"/>
      <c r="V13" s="145"/>
      <c r="W13" s="145"/>
      <c r="X13" s="145"/>
      <c r="Y13" s="11"/>
      <c r="Z13" s="11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43"/>
      <c r="AL13" s="40"/>
      <c r="AM13" s="14"/>
      <c r="AN13" s="4"/>
      <c r="AO13" s="1"/>
      <c r="AP13" s="1"/>
      <c r="AQ13" s="1"/>
      <c r="AR13" s="46"/>
      <c r="AS13" s="1"/>
      <c r="AT13" s="1"/>
      <c r="AU13" s="1"/>
      <c r="AV13" s="1"/>
      <c r="AW13" s="46"/>
      <c r="AX13" s="1"/>
      <c r="AY13" s="46"/>
      <c r="AZ13" s="46"/>
      <c r="BA13" s="4"/>
      <c r="BB13" s="4"/>
      <c r="BC13" s="4"/>
      <c r="BD13" s="4"/>
      <c r="BE13" s="46"/>
      <c r="BF13" s="47"/>
      <c r="BG13" s="4"/>
      <c r="BH13" s="145"/>
      <c r="BI13" s="145"/>
    </row>
    <row r="14" spans="1:61" s="39" customFormat="1">
      <c r="A14" s="44"/>
      <c r="B14" s="44"/>
      <c r="C14" s="14"/>
      <c r="D14" s="45"/>
      <c r="E14" s="48"/>
      <c r="F14" s="48"/>
      <c r="G14" s="11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43"/>
      <c r="AL14" s="40"/>
      <c r="AM14" s="14"/>
      <c r="AN14" s="4"/>
      <c r="AO14" s="1"/>
      <c r="AP14" s="1"/>
      <c r="AQ14" s="1"/>
      <c r="AR14" s="46"/>
      <c r="AS14" s="1"/>
      <c r="AT14" s="1"/>
      <c r="AU14" s="1"/>
      <c r="AV14" s="1"/>
      <c r="AW14" s="46"/>
      <c r="AX14" s="1"/>
      <c r="AY14" s="46"/>
      <c r="AZ14" s="46"/>
      <c r="BA14" s="4"/>
      <c r="BB14" s="4"/>
      <c r="BC14" s="4"/>
      <c r="BD14" s="4"/>
      <c r="BE14" s="46"/>
      <c r="BF14" s="47"/>
      <c r="BG14" s="4"/>
      <c r="BH14" s="145"/>
      <c r="BI14" s="145"/>
    </row>
    <row r="15" spans="1:61" s="39" customFormat="1">
      <c r="A15" s="44"/>
      <c r="B15" s="44"/>
      <c r="C15" s="14"/>
      <c r="D15" s="45"/>
      <c r="E15" s="48"/>
      <c r="F15" s="4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3"/>
      <c r="AL15" s="40"/>
      <c r="AM15" s="14"/>
      <c r="AN15" s="46"/>
      <c r="AO15" s="1"/>
      <c r="AP15" s="1"/>
      <c r="AQ15" s="1"/>
      <c r="AR15" s="46"/>
      <c r="AS15" s="1"/>
      <c r="AT15" s="1"/>
      <c r="AU15" s="1"/>
      <c r="AV15" s="1"/>
      <c r="AW15" s="46"/>
      <c r="AX15" s="1"/>
      <c r="AY15" s="46"/>
      <c r="AZ15" s="46"/>
      <c r="BA15" s="46"/>
      <c r="BB15" s="46"/>
      <c r="BC15" s="4"/>
      <c r="BD15" s="4"/>
      <c r="BE15" s="46"/>
      <c r="BF15" s="47"/>
      <c r="BG15" s="46"/>
      <c r="BH15" s="11"/>
      <c r="BI15" s="11"/>
    </row>
    <row r="16" spans="1:61" s="39" customFormat="1">
      <c r="A16" s="44"/>
      <c r="B16" s="44"/>
      <c r="C16" s="14"/>
      <c r="D16" s="45"/>
      <c r="E16" s="48"/>
      <c r="F16" s="48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3"/>
      <c r="AL16" s="40"/>
      <c r="AM16" s="14"/>
      <c r="AN16" s="46"/>
      <c r="AO16" s="1"/>
      <c r="AP16" s="1"/>
      <c r="AQ16" s="1"/>
      <c r="AR16" s="46"/>
      <c r="AS16" s="1"/>
      <c r="AT16" s="1"/>
      <c r="AU16" s="1"/>
      <c r="AV16" s="1"/>
      <c r="AW16" s="46"/>
      <c r="AX16" s="1"/>
      <c r="AY16" s="46"/>
      <c r="AZ16" s="46"/>
      <c r="BA16" s="46"/>
      <c r="BB16" s="46"/>
      <c r="BC16" s="4"/>
      <c r="BD16" s="4"/>
      <c r="BE16" s="46"/>
      <c r="BF16" s="47"/>
      <c r="BG16" s="46"/>
      <c r="BH16" s="11"/>
      <c r="BI16" s="11"/>
    </row>
    <row r="17" spans="1:61">
      <c r="A17" s="44"/>
      <c r="B17" s="44"/>
      <c r="C17" s="14"/>
      <c r="D17" s="45"/>
      <c r="E17" s="48"/>
      <c r="F17" s="48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R17" s="145"/>
      <c r="S17" s="145"/>
      <c r="T17" s="145"/>
      <c r="U17" s="145"/>
      <c r="V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43"/>
      <c r="AL17" s="40"/>
      <c r="AM17" s="14"/>
      <c r="AN17" s="4"/>
      <c r="AO17" s="1"/>
      <c r="AP17" s="1"/>
      <c r="AQ17" s="1"/>
      <c r="AR17" s="46"/>
      <c r="AS17" s="1"/>
      <c r="AT17" s="1"/>
      <c r="AU17" s="1"/>
      <c r="AV17" s="1"/>
      <c r="AW17" s="46"/>
      <c r="AX17" s="1"/>
      <c r="AY17" s="46"/>
      <c r="AZ17" s="46"/>
      <c r="BA17" s="4"/>
      <c r="BB17" s="4"/>
      <c r="BC17" s="4"/>
      <c r="BD17" s="4"/>
      <c r="BE17" s="46"/>
      <c r="BF17" s="47"/>
      <c r="BG17" s="4"/>
      <c r="BH17" s="145"/>
      <c r="BI17" s="145"/>
    </row>
    <row r="18" spans="1:61">
      <c r="A18" s="44"/>
      <c r="B18" s="44"/>
      <c r="C18" s="14"/>
      <c r="D18" s="45"/>
      <c r="E18" s="48"/>
      <c r="F18" s="48"/>
      <c r="R18" s="145"/>
      <c r="S18" s="145"/>
      <c r="T18" s="145"/>
      <c r="V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43"/>
      <c r="AL18" s="40"/>
      <c r="AM18" s="14"/>
      <c r="AN18" s="4"/>
      <c r="AO18" s="1"/>
      <c r="AP18" s="1"/>
      <c r="AQ18" s="1"/>
      <c r="AR18" s="46"/>
      <c r="AS18" s="1"/>
      <c r="AT18" s="1"/>
      <c r="AU18" s="1"/>
      <c r="AV18" s="1"/>
      <c r="AW18" s="46"/>
      <c r="AX18" s="1"/>
      <c r="AY18" s="46"/>
      <c r="AZ18" s="46"/>
      <c r="BA18" s="4"/>
      <c r="BB18" s="4"/>
      <c r="BC18" s="4"/>
      <c r="BD18" s="4"/>
      <c r="BE18" s="46"/>
      <c r="BF18" s="47"/>
      <c r="BG18" s="4"/>
      <c r="BH18" s="145"/>
      <c r="BI18" s="145"/>
    </row>
    <row r="19" spans="1:61">
      <c r="A19" s="44"/>
      <c r="B19" s="44"/>
      <c r="C19" s="14"/>
      <c r="D19" s="45"/>
      <c r="E19" s="48"/>
      <c r="F19" s="48"/>
      <c r="AK19" s="43"/>
      <c r="AL19" s="40"/>
      <c r="AM19" s="14"/>
      <c r="AN19" s="46"/>
      <c r="AO19" s="1"/>
      <c r="AP19" s="1"/>
      <c r="AQ19" s="1"/>
      <c r="AR19" s="46"/>
      <c r="AS19" s="1"/>
      <c r="AT19" s="1"/>
      <c r="AU19" s="1"/>
      <c r="AV19" s="1"/>
      <c r="AW19" s="46"/>
      <c r="AX19" s="1"/>
      <c r="AY19" s="46"/>
      <c r="AZ19" s="46"/>
      <c r="BA19" s="46"/>
      <c r="BB19" s="46"/>
      <c r="BC19" s="4"/>
      <c r="BD19" s="4"/>
      <c r="BE19" s="46"/>
      <c r="BF19" s="47"/>
      <c r="BG19" s="46"/>
    </row>
    <row r="20" spans="1:61">
      <c r="A20" s="44"/>
      <c r="B20" s="44"/>
      <c r="C20" s="14"/>
      <c r="D20" s="45"/>
      <c r="E20" s="48"/>
      <c r="F20" s="48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R20" s="145"/>
      <c r="T20" s="145"/>
      <c r="U20" s="145"/>
      <c r="V20" s="145"/>
      <c r="X20" s="145"/>
      <c r="Y20" s="145"/>
      <c r="Z20" s="145"/>
      <c r="AA20" s="145"/>
      <c r="AB20" s="145"/>
      <c r="AC20" s="145"/>
      <c r="AD20" s="145"/>
      <c r="AE20" s="145"/>
      <c r="AG20" s="145"/>
      <c r="AH20" s="145"/>
      <c r="AI20" s="145"/>
      <c r="AK20" s="43"/>
      <c r="AL20" s="40"/>
      <c r="AM20" s="14"/>
      <c r="AN20" s="4"/>
      <c r="AO20" s="1"/>
      <c r="AP20" s="1"/>
      <c r="AQ20" s="1"/>
      <c r="AR20" s="46"/>
      <c r="AS20" s="1"/>
      <c r="AT20" s="1"/>
      <c r="AU20" s="1"/>
      <c r="AV20" s="1"/>
      <c r="AW20" s="46"/>
      <c r="AX20" s="1"/>
      <c r="AY20" s="46"/>
      <c r="AZ20" s="46"/>
      <c r="BA20" s="4"/>
      <c r="BB20" s="4"/>
      <c r="BC20" s="4"/>
      <c r="BD20" s="4"/>
      <c r="BE20" s="46"/>
      <c r="BF20" s="47"/>
      <c r="BG20" s="4"/>
      <c r="BH20" s="145"/>
      <c r="BI20" s="145"/>
    </row>
    <row r="21" spans="1:61">
      <c r="A21" s="44"/>
      <c r="B21" s="44"/>
      <c r="C21" s="14"/>
      <c r="D21" s="45"/>
      <c r="E21" s="48"/>
      <c r="F21" s="48"/>
      <c r="H21" s="145"/>
      <c r="I21" s="145"/>
      <c r="J21" s="145"/>
      <c r="K21" s="145"/>
      <c r="L21" s="145"/>
      <c r="M21" s="145"/>
      <c r="N21" s="145"/>
      <c r="O21" s="145"/>
      <c r="P21" s="145"/>
      <c r="R21" s="145"/>
      <c r="S21" s="145"/>
      <c r="T21" s="145"/>
      <c r="U21" s="145"/>
      <c r="V21" s="145"/>
      <c r="AA21" s="145"/>
      <c r="AB21" s="145"/>
      <c r="AC21" s="145"/>
      <c r="AD21" s="145"/>
      <c r="AE21" s="145"/>
      <c r="AF21" s="145"/>
      <c r="AH21" s="145"/>
      <c r="AI21" s="145"/>
      <c r="AJ21" s="145"/>
      <c r="AK21" s="43"/>
      <c r="AL21" s="40"/>
      <c r="AM21" s="14"/>
      <c r="AN21" s="4"/>
      <c r="AO21" s="1"/>
      <c r="AP21" s="1"/>
      <c r="AQ21" s="1"/>
      <c r="AR21" s="46"/>
      <c r="AS21" s="1"/>
      <c r="AT21" s="1"/>
      <c r="AU21" s="1"/>
      <c r="AV21" s="1"/>
      <c r="AW21" s="46"/>
      <c r="AX21" s="1"/>
      <c r="AY21" s="46"/>
      <c r="AZ21" s="46"/>
      <c r="BA21" s="4"/>
      <c r="BB21" s="4"/>
      <c r="BC21" s="4"/>
      <c r="BD21" s="4"/>
      <c r="BE21" s="46"/>
      <c r="BF21" s="47"/>
      <c r="BG21" s="4"/>
      <c r="BH21" s="145"/>
      <c r="BI21" s="145"/>
    </row>
    <row r="22" spans="1:61">
      <c r="A22" s="44"/>
      <c r="B22" s="44"/>
      <c r="C22" s="14"/>
      <c r="D22" s="45"/>
      <c r="E22" s="48"/>
      <c r="F22" s="48"/>
      <c r="AK22" s="43"/>
      <c r="AL22" s="40"/>
      <c r="AM22" s="4"/>
      <c r="AY22" s="46"/>
      <c r="BD22" s="4"/>
      <c r="BF22" s="47"/>
    </row>
    <row r="23" spans="1:61" s="8" customFormat="1">
      <c r="A23" s="42"/>
      <c r="B23" s="3"/>
      <c r="C23" s="3"/>
      <c r="D23" s="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43"/>
      <c r="AL23" s="40"/>
      <c r="AM23" s="4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46"/>
      <c r="AZ23" s="11"/>
      <c r="BA23" s="11"/>
      <c r="BB23" s="11"/>
      <c r="BC23" s="11"/>
      <c r="BD23" s="4"/>
      <c r="BE23" s="11"/>
      <c r="BF23" s="11"/>
      <c r="BG23" s="11"/>
      <c r="BH23" s="11"/>
      <c r="BI23" s="11"/>
    </row>
    <row r="24" spans="1:61">
      <c r="A24" s="42"/>
      <c r="AK24" s="43"/>
      <c r="AL24" s="40"/>
      <c r="AM24" s="4"/>
      <c r="AY24" s="46"/>
      <c r="BD24" s="4"/>
    </row>
    <row r="25" spans="1:61">
      <c r="A25" s="42"/>
      <c r="AK25" s="43"/>
      <c r="AL25" s="40"/>
      <c r="AM25" s="4"/>
      <c r="AY25" s="46"/>
      <c r="BD25" s="4"/>
    </row>
    <row r="26" spans="1:61">
      <c r="A26" s="42"/>
      <c r="AK26" s="43"/>
      <c r="AL26" s="40"/>
      <c r="AM26" s="4"/>
      <c r="AY26" s="46"/>
      <c r="BD26" s="4"/>
    </row>
    <row r="27" spans="1:61">
      <c r="A27" s="3"/>
      <c r="C27" s="14"/>
      <c r="D27" s="5"/>
      <c r="R27" s="145"/>
      <c r="S27" s="145"/>
      <c r="T27" s="145"/>
      <c r="V27" s="145"/>
      <c r="X27" s="145"/>
      <c r="Y27" s="145"/>
      <c r="AA27" s="145"/>
      <c r="AB27" s="145"/>
      <c r="AD27" s="145"/>
      <c r="AE27" s="145"/>
      <c r="AF27" s="145"/>
      <c r="AG27" s="145"/>
      <c r="AH27" s="145"/>
      <c r="AI27" s="145"/>
      <c r="AJ27" s="145"/>
      <c r="AK27" s="43"/>
      <c r="AL27" s="40"/>
      <c r="AM27" s="4"/>
      <c r="AN27" s="4"/>
      <c r="AO27" s="14"/>
      <c r="AP27" s="4"/>
      <c r="AQ27" s="4"/>
      <c r="AR27" s="4"/>
      <c r="AS27" s="4"/>
      <c r="AT27" s="4"/>
      <c r="AU27" s="4"/>
      <c r="AV27" s="4"/>
      <c r="AW27" s="4"/>
      <c r="AX27" s="4"/>
      <c r="AY27" s="46"/>
      <c r="AZ27" s="4"/>
      <c r="BA27" s="4"/>
      <c r="BB27" s="4"/>
      <c r="BC27" s="4"/>
      <c r="BD27" s="4"/>
      <c r="BE27" s="4"/>
      <c r="BF27" s="47"/>
      <c r="BG27" s="4"/>
      <c r="BH27" s="145"/>
      <c r="BI27" s="145"/>
    </row>
    <row r="28" spans="1:61" s="8" customFormat="1">
      <c r="A28" s="145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  <c r="AL28" s="1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145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1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145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  <c r="AL30" s="1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145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  <c r="AL31" s="1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145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  <c r="AL32" s="1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145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/>
      <c r="AL33" s="13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145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  <c r="AL34" s="1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145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1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145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L36" s="1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145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  <c r="AL37" s="1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145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  <c r="AL38" s="1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145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L39" s="1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145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  <c r="AL40" s="1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145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  <c r="AL41" s="13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145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3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145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"/>
      <c r="AL43" s="13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145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13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145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3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145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  <c r="AL46" s="13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145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13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145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/>
      <c r="AL48" s="13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145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  <c r="AL49" s="13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145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/>
      <c r="AL50" s="13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145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  <c r="AL51" s="13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145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13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145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13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145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1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145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1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145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  <c r="AL56" s="13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145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  <c r="AL57" s="1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145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  <c r="AL58" s="13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145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/>
      <c r="AL59" s="13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145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2"/>
      <c r="AL60" s="13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145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  <c r="AL61" s="13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145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/>
      <c r="AL62" s="13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145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2"/>
      <c r="AL63" s="13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145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3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145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/>
      <c r="AL65" s="13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145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2"/>
      <c r="AL66" s="13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145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13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145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/>
      <c r="AL68" s="13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145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2"/>
      <c r="AL69" s="13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145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2"/>
      <c r="AL70" s="13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145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2"/>
      <c r="AL71" s="13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145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13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145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1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145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/>
      <c r="AL74" s="1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145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2"/>
      <c r="AL75" s="13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145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/>
      <c r="AL76" s="13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145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/>
      <c r="AL77" s="13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145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/>
      <c r="AL78" s="13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145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  <c r="AL79" s="13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145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2"/>
      <c r="AL80" s="13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145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145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/>
      <c r="AL82" s="13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145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/>
      <c r="AL83" s="13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145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2"/>
      <c r="AL84" s="13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145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2"/>
      <c r="AL85" s="13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145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2"/>
      <c r="AL86" s="13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145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/>
      <c r="AL87" s="13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145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  <c r="AL88" s="13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145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2"/>
      <c r="AL89" s="13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145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  <c r="AL90" s="13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145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3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145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  <c r="AL92" s="13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145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  <c r="AL93" s="13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145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  <c r="AL94" s="13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145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3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145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3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145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3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145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3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145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3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145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3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145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  <c r="AL101" s="13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145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/>
      <c r="AL102" s="13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145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2"/>
      <c r="AL103" s="1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145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/>
      <c r="AL104" s="13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145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2"/>
      <c r="AL105" s="13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145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/>
      <c r="AL106" s="13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145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2"/>
      <c r="AL107" s="13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145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/>
      <c r="AL108" s="13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145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  <c r="AL109" s="1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145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/>
      <c r="AL110" s="13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145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/>
      <c r="AL111" s="13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145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2"/>
      <c r="AL112" s="13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145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  <c r="AL113" s="13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145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2"/>
      <c r="AL114" s="13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145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/>
      <c r="AL115" s="13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145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2"/>
      <c r="AL116" s="13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145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  <c r="AL117" s="13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145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/>
      <c r="AL118" s="13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145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2"/>
      <c r="AL119" s="13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145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2"/>
      <c r="AL120" s="13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145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/>
      <c r="AL121" s="13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145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/>
      <c r="AL122" s="13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145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/>
      <c r="AL123" s="13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145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  <c r="AL124" s="13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145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2"/>
      <c r="AL125" s="13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8" customFormat="1">
      <c r="A126" s="145"/>
      <c r="B126" s="3"/>
      <c r="C126" s="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  <c r="AL126" s="13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8" customFormat="1">
      <c r="A127" s="145"/>
      <c r="B127" s="3"/>
      <c r="C127" s="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  <c r="AL127" s="13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8" customFormat="1">
      <c r="A128" s="145"/>
      <c r="B128" s="3"/>
      <c r="C128" s="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  <c r="AL128" s="13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8" customFormat="1">
      <c r="A129" s="145"/>
      <c r="B129" s="3"/>
      <c r="C129" s="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/>
      <c r="AL129" s="13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8" customFormat="1">
      <c r="A130" s="145"/>
      <c r="B130" s="3"/>
      <c r="C130" s="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2"/>
      <c r="AL130" s="13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8" customFormat="1">
      <c r="A131" s="145"/>
      <c r="B131" s="3"/>
      <c r="C131" s="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2"/>
      <c r="AL131" s="13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8" customFormat="1">
      <c r="A132" s="145"/>
      <c r="B132" s="3"/>
      <c r="C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/>
      <c r="AL132" s="13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8" customFormat="1">
      <c r="A133" s="145"/>
      <c r="B133" s="3"/>
      <c r="C133" s="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/>
      <c r="AL133" s="13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8" customFormat="1">
      <c r="A134" s="145"/>
      <c r="B134" s="3"/>
      <c r="C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/>
      <c r="AL134" s="13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8" customFormat="1">
      <c r="A135" s="145"/>
      <c r="B135" s="3"/>
      <c r="C135" s="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/>
      <c r="AL135" s="13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8" customFormat="1">
      <c r="A136" s="145"/>
      <c r="B136" s="3"/>
      <c r="C136" s="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/>
      <c r="AL136" s="13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8" customFormat="1">
      <c r="A137" s="145"/>
      <c r="B137" s="3"/>
      <c r="C137" s="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2"/>
      <c r="AL137" s="13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8" customFormat="1">
      <c r="A138" s="145"/>
      <c r="B138" s="3"/>
      <c r="C138" s="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3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8" customFormat="1">
      <c r="A139" s="145"/>
      <c r="B139" s="3"/>
      <c r="C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  <c r="AL139" s="13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8" customFormat="1">
      <c r="A140" s="145"/>
      <c r="B140" s="3"/>
      <c r="C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2"/>
      <c r="AL140" s="13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8" customFormat="1">
      <c r="A141" s="145"/>
      <c r="B141" s="3"/>
      <c r="C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2"/>
      <c r="AL141" s="13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8" customFormat="1">
      <c r="A142" s="145"/>
      <c r="B142" s="3"/>
      <c r="C142" s="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/>
      <c r="AL142" s="13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8" customFormat="1">
      <c r="A143" s="145"/>
      <c r="B143" s="3"/>
      <c r="C143" s="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/>
      <c r="AL143" s="13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8" customFormat="1">
      <c r="A144" s="145"/>
      <c r="B144" s="3"/>
      <c r="C144" s="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/>
      <c r="AL144" s="13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8" customFormat="1">
      <c r="A145" s="145"/>
      <c r="B145" s="3"/>
      <c r="C145" s="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2"/>
      <c r="AL145" s="13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8" customFormat="1">
      <c r="A146" s="145"/>
      <c r="B146" s="3"/>
      <c r="C146" s="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2"/>
      <c r="AL146" s="13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8" customFormat="1">
      <c r="A147" s="145"/>
      <c r="B147" s="3"/>
      <c r="C147" s="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  <c r="AL147" s="13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8" customFormat="1">
      <c r="A148" s="145"/>
      <c r="B148" s="3"/>
      <c r="C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/>
      <c r="AL148" s="13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8" customFormat="1">
      <c r="A149" s="145"/>
      <c r="B149" s="3"/>
      <c r="C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  <c r="AL149" s="13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8" customFormat="1">
      <c r="A150" s="145"/>
      <c r="B150" s="3"/>
      <c r="C150" s="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/>
      <c r="AL150" s="13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8" customFormat="1">
      <c r="A151" s="145"/>
      <c r="B151" s="3"/>
      <c r="C151" s="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2"/>
      <c r="AL151" s="13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</sheetData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D28" sqref="D28"/>
    </sheetView>
  </sheetViews>
  <sheetFormatPr defaultRowHeight="15"/>
  <cols>
    <col min="1" max="1" width="13.7109375" style="2" customWidth="1"/>
    <col min="2" max="2" width="30" style="3" bestFit="1" customWidth="1"/>
    <col min="3" max="3" width="12.5703125" style="3" customWidth="1"/>
    <col min="4" max="4" width="40.5703125" style="8" customWidth="1"/>
    <col min="5" max="5" width="28.5703125" style="11" customWidth="1"/>
    <col min="6" max="6" width="18.5703125" style="11" customWidth="1"/>
    <col min="7" max="7" width="16.140625" style="11" customWidth="1"/>
    <col min="8" max="10" width="15.140625" style="11" customWidth="1"/>
    <col min="11" max="16" width="15.140625" style="11" hidden="1" customWidth="1"/>
    <col min="17" max="17" width="14.42578125" style="11" customWidth="1"/>
    <col min="18" max="18" width="11.42578125" style="11" hidden="1" customWidth="1"/>
    <col min="19" max="19" width="10.7109375" style="11" customWidth="1"/>
    <col min="20" max="20" width="10.7109375" style="11" hidden="1" customWidth="1"/>
    <col min="21" max="21" width="10.7109375" style="11" customWidth="1"/>
    <col min="22" max="22" width="10.7109375" style="11" hidden="1" customWidth="1"/>
    <col min="23" max="23" width="16" style="11" customWidth="1"/>
    <col min="24" max="24" width="11.85546875" style="11" hidden="1" customWidth="1"/>
    <col min="25" max="25" width="10.7109375" style="11" customWidth="1"/>
    <col min="26" max="26" width="10.42578125" style="11" customWidth="1"/>
    <col min="27" max="27" width="9.7109375" style="11" bestFit="1" customWidth="1"/>
    <col min="28" max="28" width="16.7109375" style="11" hidden="1" customWidth="1"/>
    <col min="29" max="29" width="16.42578125" style="11" customWidth="1"/>
    <col min="30" max="31" width="10.7109375" style="11" hidden="1" customWidth="1"/>
    <col min="32" max="32" width="10.7109375" style="11" customWidth="1"/>
    <col min="33" max="33" width="10.7109375" style="11" hidden="1" customWidth="1"/>
    <col min="34" max="34" width="14.140625" style="11" hidden="1" customWidth="1"/>
    <col min="35" max="35" width="10.7109375" style="11" hidden="1" customWidth="1"/>
    <col min="36" max="36" width="9.140625" style="11" bestFit="1" customWidth="1"/>
    <col min="37" max="37" width="9.140625" style="12" customWidth="1"/>
    <col min="38" max="38" width="11.5703125" style="13" customWidth="1"/>
    <col min="39" max="39" width="17.85546875" style="11" customWidth="1"/>
    <col min="40" max="40" width="16.85546875" style="11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1" ht="23.25">
      <c r="E2" s="9" t="s">
        <v>174</v>
      </c>
      <c r="F2" s="9"/>
      <c r="G2" s="10"/>
    </row>
    <row r="4" spans="1:61" ht="15.75">
      <c r="B4" s="15" t="s">
        <v>17</v>
      </c>
      <c r="C4" s="15"/>
      <c r="G4" s="16" t="s">
        <v>15</v>
      </c>
      <c r="H4" s="17"/>
      <c r="I4" s="17"/>
      <c r="J4" s="17"/>
      <c r="K4" s="17"/>
      <c r="L4" s="17"/>
      <c r="M4" s="17"/>
      <c r="N4" s="17"/>
      <c r="O4" s="17"/>
      <c r="P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2"/>
      <c r="AM4" s="20" t="s">
        <v>19</v>
      </c>
      <c r="AN4" s="21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1" ht="30">
      <c r="A5" s="27" t="s">
        <v>0</v>
      </c>
      <c r="B5" s="28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57</v>
      </c>
      <c r="K5" s="31" t="s">
        <v>54</v>
      </c>
      <c r="L5" s="31" t="s">
        <v>58</v>
      </c>
      <c r="M5" s="31" t="s">
        <v>59</v>
      </c>
      <c r="N5" s="31" t="s">
        <v>60</v>
      </c>
      <c r="O5" s="31" t="s">
        <v>61</v>
      </c>
      <c r="P5" s="31" t="s">
        <v>62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4" t="s">
        <v>20</v>
      </c>
      <c r="AL5" s="41" t="s">
        <v>21</v>
      </c>
      <c r="AM5" s="33" t="s">
        <v>18</v>
      </c>
      <c r="AN5" s="33" t="s">
        <v>55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1" s="39" customFormat="1" ht="30">
      <c r="A6" s="3">
        <v>1151</v>
      </c>
      <c r="B6" s="3" t="s">
        <v>173</v>
      </c>
      <c r="C6" s="14" t="s">
        <v>172</v>
      </c>
      <c r="D6" s="5" t="s">
        <v>171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75</v>
      </c>
      <c r="R6" s="2"/>
      <c r="S6" s="2"/>
      <c r="T6" s="2"/>
      <c r="U6" s="11"/>
      <c r="V6" s="2"/>
      <c r="W6" s="11"/>
      <c r="X6" s="2"/>
      <c r="Y6" s="2"/>
      <c r="Z6" s="11"/>
      <c r="AA6" s="2"/>
      <c r="AB6" s="2"/>
      <c r="AC6" s="11"/>
      <c r="AD6" s="2"/>
      <c r="AE6" s="2"/>
      <c r="AF6" s="2"/>
      <c r="AG6" s="2"/>
      <c r="AH6" s="2"/>
      <c r="AI6" s="2"/>
      <c r="AJ6" s="2"/>
      <c r="AK6" s="43">
        <v>316.14</v>
      </c>
      <c r="AL6" s="40">
        <f t="shared" ref="AL6:AL27" si="0">AK6/0.444</f>
        <v>712.02702702702697</v>
      </c>
      <c r="AM6" s="4"/>
      <c r="AN6" s="4"/>
      <c r="AP6" s="4"/>
      <c r="AQ6" s="4"/>
      <c r="AR6" s="4"/>
      <c r="AS6" s="4"/>
      <c r="AT6" s="4"/>
      <c r="AU6" s="4"/>
      <c r="AV6" s="4"/>
      <c r="AW6" s="4"/>
      <c r="AX6" s="4"/>
      <c r="AY6" s="46" t="s">
        <v>68</v>
      </c>
      <c r="AZ6" s="4"/>
      <c r="BA6" s="4"/>
      <c r="BB6" s="4"/>
      <c r="BC6" s="4"/>
      <c r="BD6" s="4"/>
      <c r="BE6" s="4"/>
      <c r="BF6" s="47" t="s">
        <v>67</v>
      </c>
      <c r="BG6" s="4"/>
      <c r="BH6" s="2"/>
      <c r="BI6" s="2"/>
    </row>
    <row r="7" spans="1:61" s="39" customFormat="1" ht="30">
      <c r="A7" s="44" t="s">
        <v>170</v>
      </c>
      <c r="B7" s="44" t="s">
        <v>111</v>
      </c>
      <c r="C7" s="14" t="s">
        <v>85</v>
      </c>
      <c r="D7" s="45" t="s">
        <v>169</v>
      </c>
      <c r="E7" s="48" t="s">
        <v>94</v>
      </c>
      <c r="F7" s="48" t="s">
        <v>168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3">
        <v>39.85</v>
      </c>
      <c r="AL7" s="40">
        <f t="shared" si="0"/>
        <v>89.752252252252248</v>
      </c>
      <c r="AM7" s="14" t="s">
        <v>167</v>
      </c>
      <c r="AN7" s="46"/>
      <c r="AO7" s="1">
        <v>7.75</v>
      </c>
      <c r="AP7" s="1">
        <v>2.5</v>
      </c>
      <c r="AQ7" s="1">
        <v>12.75</v>
      </c>
      <c r="AR7" s="46">
        <f t="shared" ref="AR7:AR21" si="1">(AQ7*AP7*AO7)/1728</f>
        <v>0.14295789930555555</v>
      </c>
      <c r="AS7" s="1">
        <v>8.48</v>
      </c>
      <c r="AT7" s="1">
        <v>3</v>
      </c>
      <c r="AU7" s="1">
        <v>13.49</v>
      </c>
      <c r="AV7" s="1">
        <v>3</v>
      </c>
      <c r="AW7" s="46">
        <f t="shared" ref="AW7:AW21" si="2">(AV7*AU7*AS7)/1728</f>
        <v>0.19860277777777779</v>
      </c>
      <c r="AX7" s="1">
        <v>8.24</v>
      </c>
      <c r="AY7" s="46" t="s">
        <v>68</v>
      </c>
      <c r="AZ7" s="46">
        <v>3</v>
      </c>
      <c r="BA7" s="46">
        <v>14</v>
      </c>
      <c r="BB7" s="46">
        <v>5</v>
      </c>
      <c r="BC7" s="4">
        <f t="shared" ref="BC7:BC21" si="3">(BA7*3)*BB7</f>
        <v>210</v>
      </c>
      <c r="BD7" s="4">
        <f t="shared" ref="BD7:BD21" si="4">(BC7*AX7)+50</f>
        <v>1780.4</v>
      </c>
      <c r="BE7" s="46" t="s">
        <v>65</v>
      </c>
      <c r="BF7" s="47" t="s">
        <v>107</v>
      </c>
      <c r="BG7" s="46"/>
      <c r="BH7" s="11"/>
      <c r="BI7" s="11"/>
    </row>
    <row r="8" spans="1:61" s="39" customFormat="1" ht="30">
      <c r="A8" s="44" t="s">
        <v>166</v>
      </c>
      <c r="B8" s="44" t="s">
        <v>111</v>
      </c>
      <c r="C8" s="14" t="s">
        <v>85</v>
      </c>
      <c r="D8" s="45" t="s">
        <v>165</v>
      </c>
      <c r="E8" s="48" t="s">
        <v>164</v>
      </c>
      <c r="F8" s="48" t="s">
        <v>163</v>
      </c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1"/>
      <c r="X8" s="1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3">
        <v>49.95</v>
      </c>
      <c r="AL8" s="40">
        <f t="shared" si="0"/>
        <v>112.5</v>
      </c>
      <c r="AM8" s="14" t="s">
        <v>162</v>
      </c>
      <c r="AN8" s="4"/>
      <c r="AO8" s="1">
        <v>10.75</v>
      </c>
      <c r="AP8" s="1">
        <v>1.75</v>
      </c>
      <c r="AQ8" s="1">
        <v>17.62</v>
      </c>
      <c r="AR8" s="46">
        <f t="shared" si="1"/>
        <v>0.1918265335648148</v>
      </c>
      <c r="AS8" s="1">
        <v>6.6</v>
      </c>
      <c r="AT8" s="1">
        <v>3</v>
      </c>
      <c r="AU8" s="1">
        <v>18.11</v>
      </c>
      <c r="AV8" s="1">
        <v>3</v>
      </c>
      <c r="AW8" s="46">
        <f t="shared" si="2"/>
        <v>0.20751041666666664</v>
      </c>
      <c r="AX8" s="1">
        <v>12.24</v>
      </c>
      <c r="AY8" s="46" t="s">
        <v>68</v>
      </c>
      <c r="AZ8" s="46">
        <v>3</v>
      </c>
      <c r="BA8" s="4">
        <v>7</v>
      </c>
      <c r="BB8" s="4">
        <v>6</v>
      </c>
      <c r="BC8" s="4">
        <f t="shared" si="3"/>
        <v>126</v>
      </c>
      <c r="BD8" s="4">
        <f t="shared" si="4"/>
        <v>1592.24</v>
      </c>
      <c r="BE8" s="46" t="s">
        <v>65</v>
      </c>
      <c r="BF8" s="47" t="s">
        <v>107</v>
      </c>
      <c r="BG8" s="4"/>
      <c r="BH8" s="2"/>
      <c r="BI8" s="2"/>
    </row>
    <row r="9" spans="1:61" s="39" customFormat="1">
      <c r="A9" s="44" t="s">
        <v>161</v>
      </c>
      <c r="B9" s="44" t="s">
        <v>111</v>
      </c>
      <c r="C9" s="14" t="s">
        <v>85</v>
      </c>
      <c r="D9" s="45" t="s">
        <v>160</v>
      </c>
      <c r="E9" s="48" t="s">
        <v>154</v>
      </c>
      <c r="F9" s="48">
        <v>20435801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1"/>
      <c r="AK9" s="43">
        <v>24.95</v>
      </c>
      <c r="AL9" s="40">
        <f t="shared" si="0"/>
        <v>56.193693693693689</v>
      </c>
      <c r="AM9" s="14" t="s">
        <v>159</v>
      </c>
      <c r="AN9" s="4"/>
      <c r="AO9" s="1">
        <v>10.75</v>
      </c>
      <c r="AP9" s="1">
        <v>1.75</v>
      </c>
      <c r="AQ9" s="1">
        <v>17.62</v>
      </c>
      <c r="AR9" s="46">
        <f t="shared" si="1"/>
        <v>0.1918265335648148</v>
      </c>
      <c r="AS9" s="1">
        <v>6.6</v>
      </c>
      <c r="AT9" s="1">
        <v>3</v>
      </c>
      <c r="AU9" s="1">
        <v>18.11</v>
      </c>
      <c r="AV9" s="1">
        <v>3</v>
      </c>
      <c r="AW9" s="46">
        <f t="shared" si="2"/>
        <v>0.20751041666666664</v>
      </c>
      <c r="AX9" s="1">
        <v>12.24</v>
      </c>
      <c r="AY9" s="46" t="s">
        <v>68</v>
      </c>
      <c r="AZ9" s="46">
        <v>3</v>
      </c>
      <c r="BA9" s="4">
        <v>7</v>
      </c>
      <c r="BB9" s="4">
        <v>6</v>
      </c>
      <c r="BC9" s="4">
        <f t="shared" si="3"/>
        <v>126</v>
      </c>
      <c r="BD9" s="4">
        <f t="shared" si="4"/>
        <v>1592.24</v>
      </c>
      <c r="BE9" s="46" t="s">
        <v>65</v>
      </c>
      <c r="BF9" s="47" t="s">
        <v>107</v>
      </c>
      <c r="BG9" s="4"/>
      <c r="BH9" s="2"/>
      <c r="BI9" s="2"/>
    </row>
    <row r="10" spans="1:61" s="39" customFormat="1">
      <c r="A10" s="44" t="s">
        <v>158</v>
      </c>
      <c r="B10" s="44" t="s">
        <v>111</v>
      </c>
      <c r="C10" s="14" t="s">
        <v>85</v>
      </c>
      <c r="D10" s="45" t="s">
        <v>155</v>
      </c>
      <c r="E10" s="48" t="s">
        <v>154</v>
      </c>
      <c r="F10" s="48">
        <v>3948712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43">
        <v>25.35</v>
      </c>
      <c r="AL10" s="40">
        <f t="shared" si="0"/>
        <v>57.094594594594597</v>
      </c>
      <c r="AM10" s="14" t="s">
        <v>157</v>
      </c>
      <c r="AN10" s="11"/>
      <c r="AO10" s="1">
        <v>10.75</v>
      </c>
      <c r="AP10" s="1">
        <v>1.75</v>
      </c>
      <c r="AQ10" s="1">
        <v>17.62</v>
      </c>
      <c r="AR10" s="46">
        <f t="shared" si="1"/>
        <v>0.1918265335648148</v>
      </c>
      <c r="AS10" s="1">
        <v>6.6</v>
      </c>
      <c r="AT10" s="1">
        <v>3</v>
      </c>
      <c r="AU10" s="1">
        <v>18.11</v>
      </c>
      <c r="AV10" s="1">
        <v>3</v>
      </c>
      <c r="AW10" s="46">
        <f t="shared" si="2"/>
        <v>0.20751041666666664</v>
      </c>
      <c r="AX10" s="1">
        <v>12.24</v>
      </c>
      <c r="AY10" s="46" t="s">
        <v>68</v>
      </c>
      <c r="AZ10" s="46">
        <v>3</v>
      </c>
      <c r="BA10" s="11">
        <v>7</v>
      </c>
      <c r="BB10" s="11">
        <v>6</v>
      </c>
      <c r="BC10" s="4">
        <f t="shared" si="3"/>
        <v>126</v>
      </c>
      <c r="BD10" s="4">
        <f t="shared" si="4"/>
        <v>1592.24</v>
      </c>
      <c r="BE10" s="46" t="s">
        <v>65</v>
      </c>
      <c r="BF10" s="47" t="s">
        <v>107</v>
      </c>
      <c r="BG10" s="11"/>
      <c r="BH10" s="11"/>
      <c r="BI10" s="11"/>
    </row>
    <row r="11" spans="1:61" s="39" customFormat="1">
      <c r="A11" s="44" t="s">
        <v>156</v>
      </c>
      <c r="B11" s="44" t="s">
        <v>111</v>
      </c>
      <c r="C11" s="14" t="s">
        <v>85</v>
      </c>
      <c r="D11" s="45" t="s">
        <v>155</v>
      </c>
      <c r="E11" s="48" t="s">
        <v>154</v>
      </c>
      <c r="F11" s="48">
        <v>8089705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43">
        <v>28.85</v>
      </c>
      <c r="AL11" s="40">
        <f t="shared" si="0"/>
        <v>64.977477477477478</v>
      </c>
      <c r="AM11" s="14" t="s">
        <v>153</v>
      </c>
      <c r="AN11" s="11"/>
      <c r="AO11" s="1">
        <v>7.75</v>
      </c>
      <c r="AP11" s="1">
        <v>2.5</v>
      </c>
      <c r="AQ11" s="1">
        <v>12.75</v>
      </c>
      <c r="AR11" s="46">
        <f t="shared" si="1"/>
        <v>0.14295789930555555</v>
      </c>
      <c r="AS11" s="1">
        <v>8.48</v>
      </c>
      <c r="AT11" s="1">
        <v>3</v>
      </c>
      <c r="AU11" s="1">
        <v>13.49</v>
      </c>
      <c r="AV11" s="1">
        <v>3</v>
      </c>
      <c r="AW11" s="46">
        <f t="shared" si="2"/>
        <v>0.19860277777777779</v>
      </c>
      <c r="AX11" s="1">
        <v>8.24</v>
      </c>
      <c r="AY11" s="46" t="s">
        <v>68</v>
      </c>
      <c r="AZ11" s="46">
        <v>3</v>
      </c>
      <c r="BA11" s="11">
        <v>14</v>
      </c>
      <c r="BB11" s="11">
        <v>5</v>
      </c>
      <c r="BC11" s="4">
        <f t="shared" si="3"/>
        <v>210</v>
      </c>
      <c r="BD11" s="4">
        <f t="shared" si="4"/>
        <v>1780.4</v>
      </c>
      <c r="BE11" s="46" t="s">
        <v>65</v>
      </c>
      <c r="BF11" s="47" t="s">
        <v>107</v>
      </c>
      <c r="BG11" s="11"/>
      <c r="BH11" s="11"/>
      <c r="BI11" s="11"/>
    </row>
    <row r="12" spans="1:61" s="39" customFormat="1" ht="30">
      <c r="A12" s="44" t="s">
        <v>152</v>
      </c>
      <c r="B12" s="44" t="s">
        <v>111</v>
      </c>
      <c r="C12" s="14" t="s">
        <v>85</v>
      </c>
      <c r="D12" s="45" t="s">
        <v>151</v>
      </c>
      <c r="E12" s="49" t="s">
        <v>115</v>
      </c>
      <c r="F12" s="49">
        <v>91559</v>
      </c>
      <c r="G12" s="11"/>
      <c r="H12" s="2"/>
      <c r="I12" s="2"/>
      <c r="J12" s="2"/>
      <c r="K12" s="2"/>
      <c r="L12" s="2"/>
      <c r="M12" s="2"/>
      <c r="N12" s="2"/>
      <c r="O12" s="2"/>
      <c r="P12" s="2"/>
      <c r="Q12" s="11"/>
      <c r="R12" s="2"/>
      <c r="S12" s="2"/>
      <c r="T12" s="2"/>
      <c r="U12" s="11"/>
      <c r="V12" s="2"/>
      <c r="W12" s="11"/>
      <c r="X12" s="2"/>
      <c r="Y12" s="2"/>
      <c r="Z12" s="2"/>
      <c r="AA12" s="2"/>
      <c r="AB12" s="2"/>
      <c r="AC12" s="11"/>
      <c r="AD12" s="2"/>
      <c r="AE12" s="2"/>
      <c r="AF12" s="2"/>
      <c r="AG12" s="2"/>
      <c r="AH12" s="2"/>
      <c r="AI12" s="2"/>
      <c r="AJ12" s="2"/>
      <c r="AK12" s="43">
        <v>27.75</v>
      </c>
      <c r="AL12" s="40">
        <f t="shared" si="0"/>
        <v>62.5</v>
      </c>
      <c r="AM12" s="14" t="s">
        <v>150</v>
      </c>
      <c r="AN12" s="4"/>
      <c r="AO12" s="1">
        <v>11.25</v>
      </c>
      <c r="AP12" s="1">
        <v>2.68</v>
      </c>
      <c r="AQ12" s="1">
        <v>11.25</v>
      </c>
      <c r="AR12" s="46">
        <f t="shared" si="1"/>
        <v>0.1962890625</v>
      </c>
      <c r="AS12" s="1">
        <v>9</v>
      </c>
      <c r="AT12" s="1">
        <v>3</v>
      </c>
      <c r="AU12" s="1">
        <v>11.75</v>
      </c>
      <c r="AV12" s="1">
        <v>3</v>
      </c>
      <c r="AW12" s="46">
        <f t="shared" si="2"/>
        <v>0.18359375</v>
      </c>
      <c r="AX12" s="1">
        <v>11.75</v>
      </c>
      <c r="AY12" s="46" t="s">
        <v>68</v>
      </c>
      <c r="AZ12" s="46">
        <v>3</v>
      </c>
      <c r="BA12" s="4">
        <v>12</v>
      </c>
      <c r="BB12" s="4">
        <v>5</v>
      </c>
      <c r="BC12" s="4">
        <f t="shared" si="3"/>
        <v>180</v>
      </c>
      <c r="BD12" s="4">
        <f t="shared" si="4"/>
        <v>2165</v>
      </c>
      <c r="BE12" s="46" t="s">
        <v>65</v>
      </c>
      <c r="BF12" s="47" t="s">
        <v>107</v>
      </c>
      <c r="BG12" s="4"/>
      <c r="BH12" s="2"/>
      <c r="BI12" s="2"/>
    </row>
    <row r="13" spans="1:61" s="39" customFormat="1">
      <c r="A13" s="44" t="s">
        <v>149</v>
      </c>
      <c r="B13" s="44" t="s">
        <v>111</v>
      </c>
      <c r="C13" s="14" t="s">
        <v>85</v>
      </c>
      <c r="D13" s="45" t="s">
        <v>148</v>
      </c>
      <c r="E13" s="49" t="s">
        <v>115</v>
      </c>
      <c r="F13" s="49" t="s">
        <v>147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2"/>
      <c r="S13" s="2"/>
      <c r="T13" s="2"/>
      <c r="U13" s="2"/>
      <c r="V13" s="2"/>
      <c r="W13" s="2"/>
      <c r="X13" s="2"/>
      <c r="Y13" s="11"/>
      <c r="Z13" s="1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43">
        <v>46.85</v>
      </c>
      <c r="AL13" s="40">
        <f t="shared" si="0"/>
        <v>105.51801801801803</v>
      </c>
      <c r="AM13" s="14" t="s">
        <v>146</v>
      </c>
      <c r="AN13" s="4"/>
      <c r="AO13" s="1">
        <v>11.25</v>
      </c>
      <c r="AP13" s="1">
        <v>2.68</v>
      </c>
      <c r="AQ13" s="1">
        <v>11.25</v>
      </c>
      <c r="AR13" s="46">
        <f t="shared" si="1"/>
        <v>0.1962890625</v>
      </c>
      <c r="AS13" s="1">
        <v>9</v>
      </c>
      <c r="AT13" s="1">
        <v>3</v>
      </c>
      <c r="AU13" s="1">
        <v>11.75</v>
      </c>
      <c r="AV13" s="1">
        <v>3</v>
      </c>
      <c r="AW13" s="46">
        <f t="shared" si="2"/>
        <v>0.18359375</v>
      </c>
      <c r="AX13" s="1">
        <v>11.75</v>
      </c>
      <c r="AY13" s="46" t="s">
        <v>68</v>
      </c>
      <c r="AZ13" s="46">
        <v>3</v>
      </c>
      <c r="BA13" s="4">
        <v>12</v>
      </c>
      <c r="BB13" s="4">
        <v>5</v>
      </c>
      <c r="BC13" s="4">
        <f t="shared" si="3"/>
        <v>180</v>
      </c>
      <c r="BD13" s="4">
        <f t="shared" si="4"/>
        <v>2165</v>
      </c>
      <c r="BE13" s="46" t="s">
        <v>65</v>
      </c>
      <c r="BF13" s="47" t="s">
        <v>107</v>
      </c>
      <c r="BG13" s="4"/>
      <c r="BH13" s="2"/>
      <c r="BI13" s="2"/>
    </row>
    <row r="14" spans="1:61" s="39" customFormat="1" ht="30">
      <c r="A14" s="44" t="s">
        <v>145</v>
      </c>
      <c r="B14" s="44" t="s">
        <v>111</v>
      </c>
      <c r="C14" s="14" t="s">
        <v>85</v>
      </c>
      <c r="D14" s="45" t="s">
        <v>144</v>
      </c>
      <c r="E14" s="48" t="s">
        <v>74</v>
      </c>
      <c r="F14" s="48" t="s">
        <v>143</v>
      </c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3">
        <v>34.950000000000003</v>
      </c>
      <c r="AL14" s="40">
        <f t="shared" si="0"/>
        <v>78.716216216216225</v>
      </c>
      <c r="AM14" s="14" t="s">
        <v>142</v>
      </c>
      <c r="AN14" s="4"/>
      <c r="AO14" s="1">
        <v>7.5</v>
      </c>
      <c r="AP14" s="1">
        <v>1.31</v>
      </c>
      <c r="AQ14" s="1">
        <v>13</v>
      </c>
      <c r="AR14" s="46">
        <f t="shared" si="1"/>
        <v>7.3914930555555564E-2</v>
      </c>
      <c r="AS14" s="1">
        <v>4.6399999999999997</v>
      </c>
      <c r="AT14" s="1">
        <v>3</v>
      </c>
      <c r="AU14" s="1">
        <v>14.26</v>
      </c>
      <c r="AV14" s="1">
        <v>3</v>
      </c>
      <c r="AW14" s="46">
        <f t="shared" si="2"/>
        <v>0.11487222222222222</v>
      </c>
      <c r="AX14" s="1">
        <v>9.6300000000000008</v>
      </c>
      <c r="AY14" s="46" t="s">
        <v>68</v>
      </c>
      <c r="AZ14" s="46">
        <v>3</v>
      </c>
      <c r="BA14" s="4">
        <v>12</v>
      </c>
      <c r="BB14" s="4">
        <v>9</v>
      </c>
      <c r="BC14" s="4">
        <f t="shared" si="3"/>
        <v>324</v>
      </c>
      <c r="BD14" s="4">
        <f t="shared" si="4"/>
        <v>3170.1200000000003</v>
      </c>
      <c r="BE14" s="46" t="s">
        <v>65</v>
      </c>
      <c r="BF14" s="47" t="s">
        <v>107</v>
      </c>
      <c r="BG14" s="4"/>
      <c r="BH14" s="2"/>
      <c r="BI14" s="2"/>
    </row>
    <row r="15" spans="1:61" s="39" customFormat="1">
      <c r="A15" s="44" t="s">
        <v>141</v>
      </c>
      <c r="B15" s="44" t="s">
        <v>111</v>
      </c>
      <c r="C15" s="14" t="s">
        <v>85</v>
      </c>
      <c r="D15" s="45" t="s">
        <v>140</v>
      </c>
      <c r="E15" s="48" t="s">
        <v>139</v>
      </c>
      <c r="F15" s="48" t="s">
        <v>138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3">
        <v>29.95</v>
      </c>
      <c r="AL15" s="40">
        <f t="shared" si="0"/>
        <v>67.454954954954957</v>
      </c>
      <c r="AM15" s="14" t="s">
        <v>137</v>
      </c>
      <c r="AN15" s="46"/>
      <c r="AO15" s="1">
        <v>10.75</v>
      </c>
      <c r="AP15" s="1">
        <v>1.75</v>
      </c>
      <c r="AQ15" s="1">
        <v>17.62</v>
      </c>
      <c r="AR15" s="46">
        <f t="shared" si="1"/>
        <v>0.1918265335648148</v>
      </c>
      <c r="AS15" s="1">
        <v>6.6</v>
      </c>
      <c r="AT15" s="1">
        <v>3</v>
      </c>
      <c r="AU15" s="1">
        <v>18.11</v>
      </c>
      <c r="AV15" s="1">
        <v>3</v>
      </c>
      <c r="AW15" s="46">
        <f t="shared" si="2"/>
        <v>0.20751041666666664</v>
      </c>
      <c r="AX15" s="1">
        <v>12.24</v>
      </c>
      <c r="AY15" s="46" t="s">
        <v>68</v>
      </c>
      <c r="AZ15" s="46">
        <v>3</v>
      </c>
      <c r="BA15" s="46">
        <v>7</v>
      </c>
      <c r="BB15" s="46">
        <v>6</v>
      </c>
      <c r="BC15" s="4">
        <f t="shared" si="3"/>
        <v>126</v>
      </c>
      <c r="BD15" s="4">
        <f t="shared" si="4"/>
        <v>1592.24</v>
      </c>
      <c r="BE15" s="46" t="s">
        <v>65</v>
      </c>
      <c r="BF15" s="47" t="s">
        <v>107</v>
      </c>
      <c r="BG15" s="46"/>
      <c r="BH15" s="11"/>
      <c r="BI15" s="11"/>
    </row>
    <row r="16" spans="1:61" s="39" customFormat="1">
      <c r="A16" s="44" t="s">
        <v>136</v>
      </c>
      <c r="B16" s="44" t="s">
        <v>111</v>
      </c>
      <c r="C16" s="14" t="s">
        <v>85</v>
      </c>
      <c r="D16" s="45" t="s">
        <v>135</v>
      </c>
      <c r="E16" s="48" t="s">
        <v>74</v>
      </c>
      <c r="F16" s="48" t="s">
        <v>134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3">
        <v>28.58</v>
      </c>
      <c r="AL16" s="40">
        <f t="shared" si="0"/>
        <v>64.369369369369366</v>
      </c>
      <c r="AM16" s="14" t="s">
        <v>133</v>
      </c>
      <c r="AN16" s="46"/>
      <c r="AO16" s="1">
        <v>14</v>
      </c>
      <c r="AP16" s="1">
        <v>3.06</v>
      </c>
      <c r="AQ16" s="1">
        <v>14</v>
      </c>
      <c r="AR16" s="46">
        <f t="shared" si="1"/>
        <v>0.34708333333333335</v>
      </c>
      <c r="AS16" s="1">
        <v>14.73</v>
      </c>
      <c r="AT16" s="1">
        <v>3</v>
      </c>
      <c r="AU16" s="1">
        <v>14.49</v>
      </c>
      <c r="AV16" s="1">
        <v>3</v>
      </c>
      <c r="AW16" s="46">
        <f t="shared" si="2"/>
        <v>0.37055156249999999</v>
      </c>
      <c r="AX16" s="1">
        <v>9.86</v>
      </c>
      <c r="AY16" s="46" t="s">
        <v>68</v>
      </c>
      <c r="AZ16" s="46">
        <v>3</v>
      </c>
      <c r="BA16" s="46">
        <v>6</v>
      </c>
      <c r="BB16" s="46">
        <v>4</v>
      </c>
      <c r="BC16" s="4">
        <f t="shared" si="3"/>
        <v>72</v>
      </c>
      <c r="BD16" s="4">
        <f t="shared" si="4"/>
        <v>759.92</v>
      </c>
      <c r="BE16" s="46" t="s">
        <v>65</v>
      </c>
      <c r="BF16" s="47" t="s">
        <v>107</v>
      </c>
      <c r="BG16" s="46"/>
      <c r="BH16" s="11"/>
      <c r="BI16" s="11"/>
    </row>
    <row r="17" spans="1:61">
      <c r="A17" s="44" t="s">
        <v>132</v>
      </c>
      <c r="B17" s="44" t="s">
        <v>111</v>
      </c>
      <c r="C17" s="14" t="s">
        <v>85</v>
      </c>
      <c r="D17" s="45" t="s">
        <v>131</v>
      </c>
      <c r="E17" s="48" t="s">
        <v>115</v>
      </c>
      <c r="F17" s="48">
        <v>8031900159</v>
      </c>
      <c r="G17" s="2"/>
      <c r="H17" s="2"/>
      <c r="I17" s="2"/>
      <c r="J17" s="2"/>
      <c r="K17" s="2"/>
      <c r="L17" s="2"/>
      <c r="M17" s="2"/>
      <c r="N17" s="2"/>
      <c r="O17" s="2"/>
      <c r="P17" s="2"/>
      <c r="R17" s="2"/>
      <c r="S17" s="2"/>
      <c r="T17" s="2"/>
      <c r="U17" s="2"/>
      <c r="V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43">
        <v>14.95</v>
      </c>
      <c r="AL17" s="40">
        <f t="shared" si="0"/>
        <v>33.671171171171167</v>
      </c>
      <c r="AM17" s="14" t="s">
        <v>130</v>
      </c>
      <c r="AN17" s="4"/>
      <c r="AO17" s="1">
        <v>9.06</v>
      </c>
      <c r="AP17" s="1">
        <v>1.37</v>
      </c>
      <c r="AQ17" s="1">
        <v>9.25</v>
      </c>
      <c r="AR17" s="46">
        <f t="shared" si="1"/>
        <v>6.6442621527777787E-2</v>
      </c>
      <c r="AS17" s="1">
        <v>4.7300000000000004</v>
      </c>
      <c r="AT17" s="1">
        <v>3</v>
      </c>
      <c r="AU17" s="1">
        <v>10.49</v>
      </c>
      <c r="AV17" s="1">
        <v>3</v>
      </c>
      <c r="AW17" s="46">
        <f t="shared" si="2"/>
        <v>8.6141840277777784E-2</v>
      </c>
      <c r="AX17" s="1">
        <v>9.99</v>
      </c>
      <c r="AY17" s="46" t="s">
        <v>68</v>
      </c>
      <c r="AZ17" s="46">
        <v>3</v>
      </c>
      <c r="BA17" s="4">
        <v>16</v>
      </c>
      <c r="BB17" s="4">
        <v>9</v>
      </c>
      <c r="BC17" s="4">
        <f t="shared" si="3"/>
        <v>432</v>
      </c>
      <c r="BD17" s="4">
        <f t="shared" si="4"/>
        <v>4365.68</v>
      </c>
      <c r="BE17" s="46" t="s">
        <v>65</v>
      </c>
      <c r="BF17" s="47" t="s">
        <v>107</v>
      </c>
      <c r="BG17" s="4"/>
      <c r="BH17" s="2"/>
      <c r="BI17" s="2"/>
    </row>
    <row r="18" spans="1:61">
      <c r="A18" s="44" t="s">
        <v>129</v>
      </c>
      <c r="B18" s="44" t="s">
        <v>111</v>
      </c>
      <c r="C18" s="14" t="s">
        <v>85</v>
      </c>
      <c r="D18" s="45" t="s">
        <v>128</v>
      </c>
      <c r="E18" s="48" t="s">
        <v>115</v>
      </c>
      <c r="F18" s="48">
        <v>91595</v>
      </c>
      <c r="R18" s="2"/>
      <c r="S18" s="2"/>
      <c r="T18" s="2"/>
      <c r="V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3">
        <v>12.95</v>
      </c>
      <c r="AL18" s="40">
        <f t="shared" si="0"/>
        <v>29.166666666666664</v>
      </c>
      <c r="AM18" s="14" t="s">
        <v>127</v>
      </c>
      <c r="AN18" s="4"/>
      <c r="AO18" s="1">
        <v>9.06</v>
      </c>
      <c r="AP18" s="1">
        <v>1.37</v>
      </c>
      <c r="AQ18" s="1">
        <v>9.25</v>
      </c>
      <c r="AR18" s="46">
        <f t="shared" si="1"/>
        <v>6.6442621527777787E-2</v>
      </c>
      <c r="AS18" s="1">
        <v>4.7300000000000004</v>
      </c>
      <c r="AT18" s="1">
        <v>3</v>
      </c>
      <c r="AU18" s="1">
        <v>10.49</v>
      </c>
      <c r="AV18" s="1">
        <v>3</v>
      </c>
      <c r="AW18" s="46">
        <f t="shared" si="2"/>
        <v>8.6141840277777784E-2</v>
      </c>
      <c r="AX18" s="1">
        <v>9.99</v>
      </c>
      <c r="AY18" s="46" t="s">
        <v>68</v>
      </c>
      <c r="AZ18" s="46">
        <v>3</v>
      </c>
      <c r="BA18" s="4">
        <v>16</v>
      </c>
      <c r="BB18" s="4">
        <v>9</v>
      </c>
      <c r="BC18" s="4">
        <f t="shared" si="3"/>
        <v>432</v>
      </c>
      <c r="BD18" s="4">
        <f t="shared" si="4"/>
        <v>4365.68</v>
      </c>
      <c r="BE18" s="46" t="s">
        <v>65</v>
      </c>
      <c r="BF18" s="47" t="s">
        <v>107</v>
      </c>
      <c r="BG18" s="4"/>
      <c r="BH18" s="2"/>
      <c r="BI18" s="2"/>
    </row>
    <row r="19" spans="1:61">
      <c r="A19" s="44" t="s">
        <v>126</v>
      </c>
      <c r="B19" s="44" t="s">
        <v>111</v>
      </c>
      <c r="C19" s="14" t="s">
        <v>85</v>
      </c>
      <c r="D19" s="45" t="s">
        <v>125</v>
      </c>
      <c r="E19" s="48" t="s">
        <v>124</v>
      </c>
      <c r="F19" s="48" t="s">
        <v>123</v>
      </c>
      <c r="AK19" s="43">
        <v>34.299999999999997</v>
      </c>
      <c r="AL19" s="40">
        <f t="shared" si="0"/>
        <v>77.252252252252248</v>
      </c>
      <c r="AM19" s="14" t="s">
        <v>122</v>
      </c>
      <c r="AN19" s="46"/>
      <c r="AO19" s="1">
        <v>7.09</v>
      </c>
      <c r="AP19" s="1">
        <v>1.53</v>
      </c>
      <c r="AQ19" s="1">
        <v>11.5</v>
      </c>
      <c r="AR19" s="46">
        <f t="shared" si="1"/>
        <v>7.2192447916666666E-2</v>
      </c>
      <c r="AS19" s="1">
        <v>5.23</v>
      </c>
      <c r="AT19" s="1">
        <v>3</v>
      </c>
      <c r="AU19" s="1">
        <v>11.92</v>
      </c>
      <c r="AV19" s="1">
        <v>3</v>
      </c>
      <c r="AW19" s="46">
        <f t="shared" si="2"/>
        <v>0.10823194444444445</v>
      </c>
      <c r="AX19" s="1">
        <v>7.99</v>
      </c>
      <c r="AY19" s="46" t="s">
        <v>68</v>
      </c>
      <c r="AZ19" s="46">
        <v>3</v>
      </c>
      <c r="BA19" s="46">
        <v>20</v>
      </c>
      <c r="BB19" s="46">
        <v>8</v>
      </c>
      <c r="BC19" s="4">
        <f t="shared" si="3"/>
        <v>480</v>
      </c>
      <c r="BD19" s="4">
        <f t="shared" si="4"/>
        <v>3885.2000000000003</v>
      </c>
      <c r="BE19" s="46" t="s">
        <v>65</v>
      </c>
      <c r="BF19" s="47" t="s">
        <v>107</v>
      </c>
      <c r="BG19" s="46"/>
    </row>
    <row r="20" spans="1:61">
      <c r="A20" s="44" t="s">
        <v>121</v>
      </c>
      <c r="B20" s="44" t="s">
        <v>111</v>
      </c>
      <c r="C20" s="14" t="s">
        <v>85</v>
      </c>
      <c r="D20" s="45" t="s">
        <v>120</v>
      </c>
      <c r="E20" s="48" t="s">
        <v>74</v>
      </c>
      <c r="F20" s="48" t="s">
        <v>119</v>
      </c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T20" s="2"/>
      <c r="U20" s="2"/>
      <c r="V20" s="2"/>
      <c r="X20" s="2"/>
      <c r="Y20" s="2"/>
      <c r="Z20" s="2"/>
      <c r="AA20" s="2"/>
      <c r="AB20" s="2"/>
      <c r="AC20" s="2"/>
      <c r="AD20" s="2"/>
      <c r="AE20" s="2"/>
      <c r="AG20" s="2"/>
      <c r="AH20" s="2"/>
      <c r="AI20" s="2"/>
      <c r="AK20" s="43">
        <v>38.9</v>
      </c>
      <c r="AL20" s="40">
        <f t="shared" si="0"/>
        <v>87.612612612612608</v>
      </c>
      <c r="AM20" s="14" t="s">
        <v>118</v>
      </c>
      <c r="AN20" s="4"/>
      <c r="AO20" s="1">
        <v>7.5</v>
      </c>
      <c r="AP20" s="1">
        <v>1.31</v>
      </c>
      <c r="AQ20" s="1">
        <v>13</v>
      </c>
      <c r="AR20" s="46">
        <f t="shared" si="1"/>
        <v>7.3914930555555564E-2</v>
      </c>
      <c r="AS20" s="1">
        <v>4.6399999999999997</v>
      </c>
      <c r="AT20" s="1">
        <v>3</v>
      </c>
      <c r="AU20" s="1">
        <v>14.26</v>
      </c>
      <c r="AV20" s="1">
        <v>3</v>
      </c>
      <c r="AW20" s="46">
        <f t="shared" si="2"/>
        <v>0.11487222222222222</v>
      </c>
      <c r="AX20" s="1">
        <v>9.6300000000000008</v>
      </c>
      <c r="AY20" s="46" t="s">
        <v>68</v>
      </c>
      <c r="AZ20" s="46">
        <v>3</v>
      </c>
      <c r="BA20" s="4">
        <v>12</v>
      </c>
      <c r="BB20" s="4">
        <v>9</v>
      </c>
      <c r="BC20" s="4">
        <f t="shared" si="3"/>
        <v>324</v>
      </c>
      <c r="BD20" s="4">
        <f t="shared" si="4"/>
        <v>3170.1200000000003</v>
      </c>
      <c r="BE20" s="46" t="s">
        <v>65</v>
      </c>
      <c r="BF20" s="47" t="s">
        <v>107</v>
      </c>
      <c r="BG20" s="4"/>
      <c r="BH20" s="2"/>
      <c r="BI20" s="2"/>
    </row>
    <row r="21" spans="1:61">
      <c r="A21" s="44" t="s">
        <v>117</v>
      </c>
      <c r="B21" s="44" t="s">
        <v>111</v>
      </c>
      <c r="C21" s="14" t="s">
        <v>85</v>
      </c>
      <c r="D21" s="45" t="s">
        <v>116</v>
      </c>
      <c r="E21" s="48" t="s">
        <v>115</v>
      </c>
      <c r="F21" s="48" t="s">
        <v>114</v>
      </c>
      <c r="H21" s="2"/>
      <c r="I21" s="2"/>
      <c r="J21" s="2"/>
      <c r="K21" s="2"/>
      <c r="L21" s="2"/>
      <c r="M21" s="2"/>
      <c r="N21" s="2"/>
      <c r="O21" s="2"/>
      <c r="P21" s="2"/>
      <c r="R21" s="2"/>
      <c r="S21" s="2"/>
      <c r="T21" s="2"/>
      <c r="U21" s="2"/>
      <c r="V21" s="2"/>
      <c r="AA21" s="2"/>
      <c r="AB21" s="2"/>
      <c r="AC21" s="2"/>
      <c r="AD21" s="2"/>
      <c r="AE21" s="2"/>
      <c r="AF21" s="2"/>
      <c r="AH21" s="2"/>
      <c r="AI21" s="2"/>
      <c r="AJ21" s="2"/>
      <c r="AK21" s="43">
        <v>23.95</v>
      </c>
      <c r="AL21" s="40">
        <f t="shared" si="0"/>
        <v>53.941441441441441</v>
      </c>
      <c r="AM21" s="14" t="s">
        <v>113</v>
      </c>
      <c r="AN21" s="4"/>
      <c r="AO21" s="1">
        <v>9.06</v>
      </c>
      <c r="AP21" s="1">
        <v>1.37</v>
      </c>
      <c r="AQ21" s="1">
        <v>9.25</v>
      </c>
      <c r="AR21" s="46">
        <f t="shared" si="1"/>
        <v>6.6442621527777787E-2</v>
      </c>
      <c r="AS21" s="1">
        <v>4.7300000000000004</v>
      </c>
      <c r="AT21" s="1">
        <v>3</v>
      </c>
      <c r="AU21" s="1">
        <v>10.49</v>
      </c>
      <c r="AV21" s="1">
        <v>3</v>
      </c>
      <c r="AW21" s="46">
        <f t="shared" si="2"/>
        <v>8.6141840277777784E-2</v>
      </c>
      <c r="AX21" s="1">
        <v>9.99</v>
      </c>
      <c r="AY21" s="46" t="s">
        <v>68</v>
      </c>
      <c r="AZ21" s="46">
        <v>3</v>
      </c>
      <c r="BA21" s="4">
        <v>16</v>
      </c>
      <c r="BB21" s="4">
        <v>9</v>
      </c>
      <c r="BC21" s="4">
        <f t="shared" si="3"/>
        <v>432</v>
      </c>
      <c r="BD21" s="4">
        <f t="shared" si="4"/>
        <v>4365.68</v>
      </c>
      <c r="BE21" s="46" t="s">
        <v>65</v>
      </c>
      <c r="BF21" s="47" t="s">
        <v>107</v>
      </c>
      <c r="BG21" s="4"/>
      <c r="BH21" s="2"/>
      <c r="BI21" s="2"/>
    </row>
    <row r="22" spans="1:61">
      <c r="A22" s="44" t="s">
        <v>112</v>
      </c>
      <c r="B22" s="44" t="s">
        <v>111</v>
      </c>
      <c r="C22" s="14" t="s">
        <v>85</v>
      </c>
      <c r="D22" s="45" t="s">
        <v>110</v>
      </c>
      <c r="E22" s="48" t="s">
        <v>109</v>
      </c>
      <c r="F22" s="48" t="s">
        <v>108</v>
      </c>
      <c r="AK22" s="43">
        <v>69.900000000000006</v>
      </c>
      <c r="AL22" s="40">
        <f t="shared" si="0"/>
        <v>157.43243243243245</v>
      </c>
      <c r="AM22" s="4"/>
      <c r="AY22" s="46" t="s">
        <v>68</v>
      </c>
      <c r="BD22" s="4"/>
      <c r="BF22" s="47" t="s">
        <v>107</v>
      </c>
    </row>
    <row r="23" spans="1:61" s="8" customFormat="1">
      <c r="A23" s="42" t="s">
        <v>106</v>
      </c>
      <c r="B23" s="3" t="s">
        <v>105</v>
      </c>
      <c r="C23" s="3" t="s">
        <v>104</v>
      </c>
      <c r="D23" s="6" t="s">
        <v>103</v>
      </c>
      <c r="E23" s="11" t="s">
        <v>102</v>
      </c>
      <c r="F23" s="11" t="s">
        <v>101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 t="s">
        <v>100</v>
      </c>
      <c r="R23" s="11"/>
      <c r="S23" s="11">
        <v>89117</v>
      </c>
      <c r="T23" s="11"/>
      <c r="U23" s="11"/>
      <c r="V23" s="11"/>
      <c r="W23" s="11" t="s">
        <v>99</v>
      </c>
      <c r="X23" s="11"/>
      <c r="Y23" s="11" t="s">
        <v>98</v>
      </c>
      <c r="Z23" s="11"/>
      <c r="AA23" s="11"/>
      <c r="AB23" s="11"/>
      <c r="AC23" s="11"/>
      <c r="AD23" s="11"/>
      <c r="AE23" s="11"/>
      <c r="AF23" s="11">
        <v>4117</v>
      </c>
      <c r="AG23" s="11"/>
      <c r="AH23" s="11"/>
      <c r="AI23" s="11"/>
      <c r="AJ23" s="11">
        <v>24117</v>
      </c>
      <c r="AK23" s="43">
        <v>12.16</v>
      </c>
      <c r="AL23" s="40">
        <f t="shared" si="0"/>
        <v>27.387387387387388</v>
      </c>
      <c r="AM23" s="4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46" t="s">
        <v>68</v>
      </c>
      <c r="AZ23" s="11"/>
      <c r="BA23" s="11">
        <v>26</v>
      </c>
      <c r="BB23" s="11">
        <v>7</v>
      </c>
      <c r="BC23" s="11">
        <v>546</v>
      </c>
      <c r="BD23" s="4"/>
      <c r="BE23" s="11"/>
      <c r="BF23" s="11"/>
      <c r="BG23" s="11"/>
      <c r="BH23" s="11"/>
      <c r="BI23" s="11"/>
    </row>
    <row r="24" spans="1:61" ht="30">
      <c r="A24" s="42" t="s">
        <v>97</v>
      </c>
      <c r="B24" s="3" t="s">
        <v>63</v>
      </c>
      <c r="C24" s="3" t="s">
        <v>85</v>
      </c>
      <c r="D24" s="8" t="s">
        <v>96</v>
      </c>
      <c r="E24" s="11" t="s">
        <v>95</v>
      </c>
      <c r="F24" s="11">
        <v>87720899</v>
      </c>
      <c r="G24" s="11" t="s">
        <v>94</v>
      </c>
      <c r="H24" s="11" t="s">
        <v>93</v>
      </c>
      <c r="Q24" s="11" t="s">
        <v>92</v>
      </c>
      <c r="S24" s="11">
        <v>87795</v>
      </c>
      <c r="U24" s="11" t="s">
        <v>91</v>
      </c>
      <c r="W24" s="11" t="s">
        <v>90</v>
      </c>
      <c r="Y24" s="11" t="s">
        <v>89</v>
      </c>
      <c r="Z24" s="11" t="s">
        <v>88</v>
      </c>
      <c r="AC24" s="11" t="s">
        <v>87</v>
      </c>
      <c r="AF24" s="11">
        <v>2795</v>
      </c>
      <c r="AJ24" s="11">
        <v>42795</v>
      </c>
      <c r="AK24" s="43">
        <v>59.92</v>
      </c>
      <c r="AL24" s="40">
        <f t="shared" si="0"/>
        <v>134.95495495495496</v>
      </c>
      <c r="AM24" s="4"/>
      <c r="AY24" s="46" t="s">
        <v>68</v>
      </c>
      <c r="BA24" s="11">
        <v>136</v>
      </c>
      <c r="BB24" s="11">
        <v>3</v>
      </c>
      <c r="BC24" s="11">
        <v>408</v>
      </c>
      <c r="BD24" s="4"/>
    </row>
    <row r="25" spans="1:61" ht="30">
      <c r="A25" s="42" t="s">
        <v>86</v>
      </c>
      <c r="B25" s="3" t="s">
        <v>63</v>
      </c>
      <c r="C25" s="3" t="s">
        <v>85</v>
      </c>
      <c r="D25" s="8" t="s">
        <v>84</v>
      </c>
      <c r="E25" s="11" t="s">
        <v>83</v>
      </c>
      <c r="F25" s="11">
        <v>3903343</v>
      </c>
      <c r="G25" s="11" t="s">
        <v>82</v>
      </c>
      <c r="H25" s="11" t="s">
        <v>81</v>
      </c>
      <c r="I25" s="11" t="s">
        <v>80</v>
      </c>
      <c r="J25" s="11" t="s">
        <v>79</v>
      </c>
      <c r="AK25" s="43">
        <v>521.39</v>
      </c>
      <c r="AL25" s="40">
        <f t="shared" si="0"/>
        <v>1174.3018018018017</v>
      </c>
      <c r="AM25" s="4"/>
      <c r="AY25" s="46" t="s">
        <v>68</v>
      </c>
      <c r="BA25" s="11">
        <v>4</v>
      </c>
      <c r="BB25" s="11">
        <v>4</v>
      </c>
      <c r="BC25" s="11">
        <v>16</v>
      </c>
      <c r="BD25" s="4"/>
    </row>
    <row r="26" spans="1:61" ht="30">
      <c r="A26" s="42" t="s">
        <v>78</v>
      </c>
      <c r="B26" s="3" t="s">
        <v>77</v>
      </c>
      <c r="C26" s="3" t="s">
        <v>76</v>
      </c>
      <c r="D26" s="8" t="s">
        <v>75</v>
      </c>
      <c r="E26" s="11" t="s">
        <v>74</v>
      </c>
      <c r="F26" s="11" t="s">
        <v>73</v>
      </c>
      <c r="S26" s="11">
        <v>84708</v>
      </c>
      <c r="W26" s="11" t="s">
        <v>72</v>
      </c>
      <c r="AF26" s="11">
        <v>7708</v>
      </c>
      <c r="AJ26" s="11">
        <v>57708</v>
      </c>
      <c r="AK26" s="43">
        <v>66.42</v>
      </c>
      <c r="AL26" s="40">
        <f t="shared" si="0"/>
        <v>149.59459459459458</v>
      </c>
      <c r="AM26" s="4"/>
      <c r="AY26" s="46" t="s">
        <v>68</v>
      </c>
      <c r="BA26" s="11">
        <v>10</v>
      </c>
      <c r="BB26" s="11">
        <v>3</v>
      </c>
      <c r="BC26" s="11">
        <v>180</v>
      </c>
      <c r="BD26" s="4"/>
    </row>
    <row r="27" spans="1:61">
      <c r="A27" s="3" t="s">
        <v>71</v>
      </c>
      <c r="B27" s="3" t="s">
        <v>70</v>
      </c>
      <c r="C27" s="14"/>
      <c r="D27" s="5" t="s">
        <v>69</v>
      </c>
      <c r="R27" s="2"/>
      <c r="S27" s="2"/>
      <c r="T27" s="2"/>
      <c r="V27" s="2"/>
      <c r="X27" s="2"/>
      <c r="Y27" s="2"/>
      <c r="AA27" s="2"/>
      <c r="AB27" s="2"/>
      <c r="AD27" s="2"/>
      <c r="AE27" s="2"/>
      <c r="AF27" s="2"/>
      <c r="AG27" s="2"/>
      <c r="AH27" s="2"/>
      <c r="AI27" s="2"/>
      <c r="AJ27" s="2"/>
      <c r="AK27" s="43">
        <v>117.94</v>
      </c>
      <c r="AL27" s="40">
        <f t="shared" si="0"/>
        <v>265.63063063063061</v>
      </c>
      <c r="AM27" s="4"/>
      <c r="AN27" s="4"/>
      <c r="AO27" s="14"/>
      <c r="AP27" s="4"/>
      <c r="AQ27" s="4"/>
      <c r="AR27" s="4"/>
      <c r="AS27" s="4"/>
      <c r="AT27" s="4"/>
      <c r="AU27" s="4"/>
      <c r="AV27" s="4"/>
      <c r="AW27" s="4"/>
      <c r="AX27" s="4"/>
      <c r="AY27" s="46" t="s">
        <v>68</v>
      </c>
      <c r="AZ27" s="4"/>
      <c r="BA27" s="4"/>
      <c r="BB27" s="4"/>
      <c r="BC27" s="4"/>
      <c r="BD27" s="4"/>
      <c r="BE27" s="4"/>
      <c r="BF27" s="47" t="s">
        <v>67</v>
      </c>
      <c r="BG27" s="4"/>
      <c r="BH27" s="2"/>
      <c r="BI27" s="2"/>
    </row>
    <row r="28" spans="1:61" s="8" customFormat="1">
      <c r="A28" s="11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  <c r="AL28" s="1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2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1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2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  <c r="AL30" s="1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2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  <c r="AL31" s="1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2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  <c r="AL32" s="1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2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/>
      <c r="AL33" s="13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2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  <c r="AL34" s="1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2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1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2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L36" s="1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2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  <c r="AL37" s="1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2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  <c r="AL38" s="1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2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L39" s="1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2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  <c r="AL40" s="1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2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  <c r="AL41" s="13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2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3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2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"/>
      <c r="AL43" s="13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2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13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2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3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2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  <c r="AL46" s="13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2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13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2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/>
      <c r="AL48" s="13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2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  <c r="AL49" s="13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2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/>
      <c r="AL50" s="13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2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  <c r="AL51" s="13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2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13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2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13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2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1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2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1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2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  <c r="AL56" s="13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2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  <c r="AL57" s="1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2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  <c r="AL58" s="13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2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/>
      <c r="AL59" s="13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2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2"/>
      <c r="AL60" s="13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2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  <c r="AL61" s="13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2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/>
      <c r="AL62" s="13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2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2"/>
      <c r="AL63" s="13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2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3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2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/>
      <c r="AL65" s="13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2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2"/>
      <c r="AL66" s="13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2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13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2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/>
      <c r="AL68" s="13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2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2"/>
      <c r="AL69" s="13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2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2"/>
      <c r="AL70" s="13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2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2"/>
      <c r="AL71" s="13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2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13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2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1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2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/>
      <c r="AL74" s="1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2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2"/>
      <c r="AL75" s="13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2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/>
      <c r="AL76" s="13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2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/>
      <c r="AL77" s="13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2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/>
      <c r="AL78" s="13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2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  <c r="AL79" s="13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2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2"/>
      <c r="AL80" s="13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2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2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/>
      <c r="AL82" s="13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2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/>
      <c r="AL83" s="13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2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2"/>
      <c r="AL84" s="13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2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2"/>
      <c r="AL85" s="13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2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2"/>
      <c r="AL86" s="13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2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/>
      <c r="AL87" s="13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2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  <c r="AL88" s="13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2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2"/>
      <c r="AL89" s="13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2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  <c r="AL90" s="13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2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3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2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  <c r="AL92" s="13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2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  <c r="AL93" s="13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2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  <c r="AL94" s="13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2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3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2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3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2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3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2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3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2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3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2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3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2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  <c r="AL101" s="13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2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/>
      <c r="AL102" s="13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2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2"/>
      <c r="AL103" s="1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2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/>
      <c r="AL104" s="13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2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2"/>
      <c r="AL105" s="13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2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/>
      <c r="AL106" s="13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2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2"/>
      <c r="AL107" s="13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2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/>
      <c r="AL108" s="13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2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  <c r="AL109" s="1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2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/>
      <c r="AL110" s="13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2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/>
      <c r="AL111" s="13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2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2"/>
      <c r="AL112" s="13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2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  <c r="AL113" s="13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2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2"/>
      <c r="AL114" s="13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2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/>
      <c r="AL115" s="13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2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2"/>
      <c r="AL116" s="13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2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  <c r="AL117" s="13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2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/>
      <c r="AL118" s="13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2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2"/>
      <c r="AL119" s="13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2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2"/>
      <c r="AL120" s="13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2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/>
      <c r="AL121" s="13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2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/>
      <c r="AL122" s="13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2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/>
      <c r="AL123" s="13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2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  <c r="AL124" s="13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2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2"/>
      <c r="AL125" s="13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8" customFormat="1">
      <c r="A126" s="2"/>
      <c r="B126" s="3"/>
      <c r="C126" s="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  <c r="AL126" s="13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8" customFormat="1">
      <c r="A127" s="2"/>
      <c r="B127" s="3"/>
      <c r="C127" s="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  <c r="AL127" s="13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8" customFormat="1">
      <c r="A128" s="2"/>
      <c r="B128" s="3"/>
      <c r="C128" s="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  <c r="AL128" s="13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8" customFormat="1">
      <c r="A129" s="2"/>
      <c r="B129" s="3"/>
      <c r="C129" s="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/>
      <c r="AL129" s="13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8" customFormat="1">
      <c r="A130" s="2"/>
      <c r="B130" s="3"/>
      <c r="C130" s="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2"/>
      <c r="AL130" s="13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8" customFormat="1">
      <c r="A131" s="2"/>
      <c r="B131" s="3"/>
      <c r="C131" s="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2"/>
      <c r="AL131" s="13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8" customFormat="1">
      <c r="A132" s="2"/>
      <c r="B132" s="3"/>
      <c r="C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/>
      <c r="AL132" s="13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8" customFormat="1">
      <c r="A133" s="2"/>
      <c r="B133" s="3"/>
      <c r="C133" s="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/>
      <c r="AL133" s="13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8" customFormat="1">
      <c r="A134" s="2"/>
      <c r="B134" s="3"/>
      <c r="C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/>
      <c r="AL134" s="13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8" customFormat="1">
      <c r="A135" s="2"/>
      <c r="B135" s="3"/>
      <c r="C135" s="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/>
      <c r="AL135" s="13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8" customFormat="1">
      <c r="A136" s="2"/>
      <c r="B136" s="3"/>
      <c r="C136" s="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/>
      <c r="AL136" s="13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8" customFormat="1">
      <c r="A137" s="2"/>
      <c r="B137" s="3"/>
      <c r="C137" s="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2"/>
      <c r="AL137" s="13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8" customFormat="1">
      <c r="A138" s="2"/>
      <c r="B138" s="3"/>
      <c r="C138" s="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3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8" customFormat="1">
      <c r="A139" s="2"/>
      <c r="B139" s="3"/>
      <c r="C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  <c r="AL139" s="13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8" customFormat="1">
      <c r="A140" s="2"/>
      <c r="B140" s="3"/>
      <c r="C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2"/>
      <c r="AL140" s="13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8" customFormat="1">
      <c r="A141" s="2"/>
      <c r="B141" s="3"/>
      <c r="C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2"/>
      <c r="AL141" s="13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8" customFormat="1">
      <c r="A142" s="2"/>
      <c r="B142" s="3"/>
      <c r="C142" s="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/>
      <c r="AL142" s="13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8" customFormat="1">
      <c r="A143" s="2"/>
      <c r="B143" s="3"/>
      <c r="C143" s="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/>
      <c r="AL143" s="13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8" customFormat="1">
      <c r="A144" s="2"/>
      <c r="B144" s="3"/>
      <c r="C144" s="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/>
      <c r="AL144" s="13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8" customFormat="1">
      <c r="A145" s="2"/>
      <c r="B145" s="3"/>
      <c r="C145" s="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2"/>
      <c r="AL145" s="13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8" customFormat="1">
      <c r="A146" s="2"/>
      <c r="B146" s="3"/>
      <c r="C146" s="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2"/>
      <c r="AL146" s="13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8" customFormat="1">
      <c r="A147" s="2"/>
      <c r="B147" s="3"/>
      <c r="C147" s="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  <c r="AL147" s="13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8" customFormat="1">
      <c r="A148" s="2"/>
      <c r="B148" s="3"/>
      <c r="C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/>
      <c r="AL148" s="13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8" customFormat="1">
      <c r="A149" s="2"/>
      <c r="B149" s="3"/>
      <c r="C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  <c r="AL149" s="13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8" customFormat="1">
      <c r="A150" s="2"/>
      <c r="B150" s="3"/>
      <c r="C150" s="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/>
      <c r="AL150" s="13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8" customFormat="1">
      <c r="A151" s="2"/>
      <c r="B151" s="3"/>
      <c r="C151" s="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2"/>
      <c r="AL151" s="13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</sheetData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2:BL125"/>
  <sheetViews>
    <sheetView zoomScaleNormal="100" workbookViewId="0">
      <pane xSplit="2" ySplit="5" topLeftCell="AS6" activePane="bottomRight" state="frozen"/>
      <selection pane="topRight" activeCell="E1" sqref="E1"/>
      <selection pane="bottomLeft" activeCell="A6" sqref="A6"/>
      <selection pane="bottomRight" activeCell="A5" sqref="A5"/>
    </sheetView>
  </sheetViews>
  <sheetFormatPr defaultRowHeight="15"/>
  <cols>
    <col min="1" max="1" width="12.28515625" style="2" bestFit="1" customWidth="1"/>
    <col min="2" max="2" width="26.140625" style="3" customWidth="1"/>
    <col min="3" max="3" width="12.5703125" style="3" hidden="1" customWidth="1"/>
    <col min="4" max="4" width="40.5703125" style="8" customWidth="1"/>
    <col min="5" max="5" width="28.5703125" style="11" customWidth="1"/>
    <col min="6" max="6" width="18.5703125" style="11" customWidth="1"/>
    <col min="7" max="7" width="16.140625" style="11" customWidth="1"/>
    <col min="8" max="8" width="15.140625" style="11" customWidth="1"/>
    <col min="9" max="9" width="18.28515625" style="11" customWidth="1"/>
    <col min="10" max="16" width="13.85546875" style="11" customWidth="1"/>
    <col min="17" max="17" width="14.42578125" style="11" customWidth="1"/>
    <col min="18" max="18" width="11.42578125" style="11" customWidth="1"/>
    <col min="19" max="22" width="10.7109375" style="11" customWidth="1"/>
    <col min="23" max="23" width="16" style="11" customWidth="1"/>
    <col min="24" max="24" width="11.85546875" style="11" customWidth="1"/>
    <col min="25" max="27" width="10.7109375" style="11" customWidth="1"/>
    <col min="28" max="28" width="16.7109375" style="11" customWidth="1"/>
    <col min="29" max="29" width="15.5703125" style="11" customWidth="1"/>
    <col min="30" max="33" width="10.7109375" style="11" customWidth="1"/>
    <col min="34" max="34" width="14.140625" style="11" customWidth="1"/>
    <col min="35" max="35" width="10.7109375" style="11" customWidth="1"/>
    <col min="36" max="36" width="19.42578125" style="11" customWidth="1"/>
    <col min="37" max="37" width="17.85546875" style="11" customWidth="1"/>
    <col min="38" max="38" width="16.85546875" style="11" customWidth="1"/>
    <col min="39" max="39" width="9.140625" style="12" customWidth="1"/>
    <col min="40" max="40" width="9.140625" style="13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4" ht="23.25">
      <c r="E2" s="9" t="s">
        <v>332</v>
      </c>
      <c r="F2" s="9"/>
      <c r="G2" s="10"/>
      <c r="I2" s="51"/>
      <c r="J2" s="9"/>
      <c r="K2" s="9"/>
      <c r="L2" s="9"/>
      <c r="M2" s="9"/>
      <c r="N2" s="9"/>
      <c r="O2" s="9"/>
      <c r="P2" s="9"/>
    </row>
    <row r="4" spans="1:64" ht="15.75">
      <c r="B4" s="15" t="s">
        <v>17</v>
      </c>
      <c r="C4" s="15"/>
      <c r="G4" s="16" t="s">
        <v>15</v>
      </c>
      <c r="H4" s="17"/>
      <c r="I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0" t="s">
        <v>19</v>
      </c>
      <c r="AL4" s="21"/>
      <c r="AM4" s="22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4" ht="30">
      <c r="A5" s="27" t="s">
        <v>0</v>
      </c>
      <c r="B5" s="64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176</v>
      </c>
      <c r="K5" s="31" t="s">
        <v>54</v>
      </c>
      <c r="L5" s="31" t="s">
        <v>177</v>
      </c>
      <c r="M5" s="31" t="s">
        <v>59</v>
      </c>
      <c r="N5" s="31" t="s">
        <v>178</v>
      </c>
      <c r="O5" s="31" t="s">
        <v>61</v>
      </c>
      <c r="P5" s="31" t="s">
        <v>179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3" t="s">
        <v>18</v>
      </c>
      <c r="AL5" s="33" t="s">
        <v>55</v>
      </c>
      <c r="AM5" s="34" t="s">
        <v>20</v>
      </c>
      <c r="AN5" s="52" t="s">
        <v>21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4" s="39" customFormat="1" ht="15.75">
      <c r="A6" s="65" t="s">
        <v>333</v>
      </c>
      <c r="B6" s="66" t="s">
        <v>105</v>
      </c>
      <c r="C6" s="66" t="s">
        <v>85</v>
      </c>
      <c r="D6" s="65" t="s">
        <v>334</v>
      </c>
      <c r="E6" s="67" t="s">
        <v>335</v>
      </c>
      <c r="F6" s="68">
        <v>11703979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 t="s">
        <v>336</v>
      </c>
      <c r="R6" s="68"/>
      <c r="S6" s="68"/>
      <c r="T6" s="68"/>
      <c r="U6" s="68" t="s">
        <v>337</v>
      </c>
      <c r="V6" s="68"/>
      <c r="W6" s="68" t="s">
        <v>338</v>
      </c>
      <c r="X6" s="68"/>
      <c r="Y6" s="68"/>
      <c r="Z6" s="68"/>
      <c r="AA6" s="68"/>
      <c r="AB6" s="68"/>
      <c r="AC6" s="68"/>
      <c r="AD6" s="68"/>
      <c r="AE6" s="68"/>
      <c r="AF6" s="68">
        <v>9979</v>
      </c>
      <c r="AG6" s="68"/>
      <c r="AH6" s="68"/>
      <c r="AI6" s="68"/>
      <c r="AJ6" s="68">
        <v>49979</v>
      </c>
      <c r="AK6" s="69" t="s">
        <v>339</v>
      </c>
      <c r="AL6" s="70" t="s">
        <v>340</v>
      </c>
      <c r="AM6" s="71">
        <v>52.95</v>
      </c>
      <c r="AN6" s="72">
        <f>AM6/0.444</f>
        <v>119.25675675675676</v>
      </c>
      <c r="AO6" s="73">
        <v>5.12</v>
      </c>
      <c r="AP6" s="73">
        <v>1.89</v>
      </c>
      <c r="AQ6" s="73">
        <v>17.32</v>
      </c>
      <c r="AR6" s="73">
        <v>9.7000000000000003E-2</v>
      </c>
      <c r="AS6" s="73">
        <v>0.8</v>
      </c>
      <c r="AT6" s="73">
        <v>17.96</v>
      </c>
      <c r="AU6" s="73">
        <v>5.75</v>
      </c>
      <c r="AV6" s="73">
        <v>12.41</v>
      </c>
      <c r="AW6" s="73">
        <v>0.74</v>
      </c>
      <c r="AX6" s="73">
        <v>4.8</v>
      </c>
      <c r="AY6" s="74" t="s">
        <v>68</v>
      </c>
      <c r="AZ6" s="75">
        <v>6</v>
      </c>
      <c r="BA6" s="75">
        <v>16</v>
      </c>
      <c r="BB6" s="75">
        <v>3</v>
      </c>
      <c r="BC6" s="75">
        <v>288</v>
      </c>
      <c r="BD6" s="75">
        <v>280</v>
      </c>
      <c r="BE6" s="70" t="s">
        <v>240</v>
      </c>
      <c r="BF6" s="70" t="s">
        <v>107</v>
      </c>
      <c r="BG6" s="74"/>
      <c r="BH6" s="19"/>
      <c r="BI6" s="19"/>
      <c r="BJ6" s="76"/>
      <c r="BK6" s="76"/>
      <c r="BL6" s="76"/>
    </row>
    <row r="7" spans="1:64" s="39" customFormat="1" ht="47.25">
      <c r="A7" s="65" t="s">
        <v>341</v>
      </c>
      <c r="B7" s="66" t="s">
        <v>342</v>
      </c>
      <c r="C7" s="66" t="s">
        <v>85</v>
      </c>
      <c r="D7" s="65" t="s">
        <v>343</v>
      </c>
      <c r="E7" s="67" t="s">
        <v>344</v>
      </c>
      <c r="F7" s="68" t="s">
        <v>345</v>
      </c>
      <c r="G7" s="68" t="s">
        <v>74</v>
      </c>
      <c r="H7" s="68" t="s">
        <v>346</v>
      </c>
      <c r="I7" s="68"/>
      <c r="J7" s="68"/>
      <c r="K7" s="68"/>
      <c r="L7" s="68"/>
      <c r="M7" s="68"/>
      <c r="N7" s="68"/>
      <c r="O7" s="68"/>
      <c r="P7" s="68"/>
      <c r="Q7" s="68" t="s">
        <v>347</v>
      </c>
      <c r="R7" s="68"/>
      <c r="S7" s="68"/>
      <c r="T7" s="68"/>
      <c r="U7" s="68"/>
      <c r="V7" s="68"/>
      <c r="W7" s="68" t="s">
        <v>348</v>
      </c>
      <c r="X7" s="68"/>
      <c r="Y7" s="68" t="s">
        <v>349</v>
      </c>
      <c r="Z7" s="68"/>
      <c r="AA7" s="68"/>
      <c r="AB7" s="68"/>
      <c r="AC7" s="68"/>
      <c r="AD7" s="68"/>
      <c r="AE7" s="68"/>
      <c r="AF7" s="68">
        <v>7191</v>
      </c>
      <c r="AG7" s="68"/>
      <c r="AH7" s="68"/>
      <c r="AI7" s="68"/>
      <c r="AJ7" s="68">
        <v>57191</v>
      </c>
      <c r="AK7" s="70" t="s">
        <v>350</v>
      </c>
      <c r="AL7" s="70" t="s">
        <v>351</v>
      </c>
      <c r="AM7" s="71">
        <v>14.71</v>
      </c>
      <c r="AN7" s="72">
        <f>AM7/0.444</f>
        <v>33.130630630630634</v>
      </c>
      <c r="AO7" s="73">
        <v>2.75</v>
      </c>
      <c r="AP7" s="73">
        <v>2.75</v>
      </c>
      <c r="AQ7" s="73">
        <v>3.62</v>
      </c>
      <c r="AR7" s="73">
        <v>1.6E-2</v>
      </c>
      <c r="AS7" s="73">
        <v>0.45600000000000002</v>
      </c>
      <c r="AT7" s="73">
        <v>11.49</v>
      </c>
      <c r="AU7" s="73">
        <v>8.74</v>
      </c>
      <c r="AV7" s="73">
        <v>4.2300000000000004</v>
      </c>
      <c r="AW7" s="73">
        <v>0.246</v>
      </c>
      <c r="AX7" s="73">
        <v>5.47</v>
      </c>
      <c r="AY7" s="74" t="s">
        <v>68</v>
      </c>
      <c r="AZ7" s="75">
        <v>12</v>
      </c>
      <c r="BA7" s="75">
        <v>17</v>
      </c>
      <c r="BB7" s="75">
        <v>9</v>
      </c>
      <c r="BC7" s="75">
        <v>1836</v>
      </c>
      <c r="BD7" s="75">
        <v>887</v>
      </c>
      <c r="BE7" s="70" t="s">
        <v>65</v>
      </c>
      <c r="BF7" s="70" t="s">
        <v>352</v>
      </c>
      <c r="BG7" s="74"/>
      <c r="BH7" s="19"/>
      <c r="BI7" s="19"/>
      <c r="BJ7" s="76"/>
      <c r="BK7" s="76"/>
      <c r="BL7" s="76"/>
    </row>
    <row r="8" spans="1:64" s="39" customFormat="1" ht="31.5">
      <c r="A8" s="65" t="s">
        <v>353</v>
      </c>
      <c r="B8" s="77" t="s">
        <v>354</v>
      </c>
      <c r="C8" s="77" t="s">
        <v>85</v>
      </c>
      <c r="D8" s="65" t="s">
        <v>355</v>
      </c>
      <c r="E8" s="67" t="s">
        <v>154</v>
      </c>
      <c r="F8" s="68">
        <v>11707077</v>
      </c>
      <c r="G8" s="68" t="s">
        <v>356</v>
      </c>
      <c r="H8" s="68" t="s">
        <v>357</v>
      </c>
      <c r="I8" s="68"/>
      <c r="J8" s="68"/>
      <c r="K8" s="68"/>
      <c r="L8" s="68"/>
      <c r="M8" s="68"/>
      <c r="N8" s="68"/>
      <c r="O8" s="68"/>
      <c r="P8" s="68"/>
      <c r="Q8" s="68" t="s">
        <v>358</v>
      </c>
      <c r="R8" s="68"/>
      <c r="S8" s="68">
        <v>83741</v>
      </c>
      <c r="T8" s="68"/>
      <c r="U8" s="68" t="s">
        <v>359</v>
      </c>
      <c r="V8" s="68"/>
      <c r="W8" s="68" t="s">
        <v>360</v>
      </c>
      <c r="X8" s="68"/>
      <c r="Y8" s="68"/>
      <c r="Z8" s="68"/>
      <c r="AA8" s="68"/>
      <c r="AB8" s="68"/>
      <c r="AC8" s="68"/>
      <c r="AD8" s="68"/>
      <c r="AE8" s="68"/>
      <c r="AF8" s="68">
        <v>9741</v>
      </c>
      <c r="AG8" s="68"/>
      <c r="AH8" s="68"/>
      <c r="AI8" s="68"/>
      <c r="AJ8" s="68">
        <v>49741</v>
      </c>
      <c r="AK8" s="70" t="s">
        <v>361</v>
      </c>
      <c r="AL8" s="70" t="s">
        <v>362</v>
      </c>
      <c r="AM8" s="71">
        <v>29.57</v>
      </c>
      <c r="AN8" s="72">
        <f>AM8/0.444</f>
        <v>66.599099099099092</v>
      </c>
      <c r="AO8" s="73">
        <v>4.5599999999999996</v>
      </c>
      <c r="AP8" s="73">
        <v>4.5599999999999996</v>
      </c>
      <c r="AQ8" s="73">
        <v>3.87</v>
      </c>
      <c r="AR8" s="73">
        <v>4.8000000000000001E-2</v>
      </c>
      <c r="AS8" s="73">
        <v>0.57499999999999996</v>
      </c>
      <c r="AT8" s="73">
        <v>14.26</v>
      </c>
      <c r="AU8" s="73">
        <v>9.6300000000000008</v>
      </c>
      <c r="AV8" s="73">
        <v>4.6399999999999997</v>
      </c>
      <c r="AW8" s="73">
        <v>0.37</v>
      </c>
      <c r="AX8" s="73">
        <v>3.45</v>
      </c>
      <c r="AY8" s="74" t="s">
        <v>68</v>
      </c>
      <c r="AZ8" s="75">
        <v>6</v>
      </c>
      <c r="BA8" s="75">
        <v>12</v>
      </c>
      <c r="BB8" s="75">
        <v>9</v>
      </c>
      <c r="BC8" s="75">
        <v>648</v>
      </c>
      <c r="BD8" s="75">
        <v>423</v>
      </c>
      <c r="BE8" s="70" t="s">
        <v>363</v>
      </c>
      <c r="BF8" s="70" t="s">
        <v>107</v>
      </c>
      <c r="BG8" s="74"/>
      <c r="BH8" s="19"/>
      <c r="BI8" s="19"/>
      <c r="BJ8" s="76"/>
      <c r="BK8" s="76"/>
      <c r="BL8" s="76"/>
    </row>
    <row r="9" spans="1:64" s="39" customFormat="1" ht="47.25">
      <c r="A9" s="78" t="s">
        <v>364</v>
      </c>
      <c r="B9" s="77" t="s">
        <v>365</v>
      </c>
      <c r="C9" s="77" t="s">
        <v>85</v>
      </c>
      <c r="D9" s="65" t="s">
        <v>366</v>
      </c>
      <c r="E9" s="67" t="s">
        <v>367</v>
      </c>
      <c r="F9" s="68">
        <v>1643070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 t="s">
        <v>368</v>
      </c>
      <c r="R9" s="68"/>
      <c r="S9" s="68">
        <v>84370</v>
      </c>
      <c r="T9" s="68"/>
      <c r="U9" s="68" t="s">
        <v>369</v>
      </c>
      <c r="V9" s="68"/>
      <c r="W9" s="68" t="s">
        <v>370</v>
      </c>
      <c r="X9" s="68" t="s">
        <v>371</v>
      </c>
      <c r="Y9" s="68"/>
      <c r="Z9" s="79" t="s">
        <v>372</v>
      </c>
      <c r="AA9" s="68"/>
      <c r="AB9" s="68"/>
      <c r="AC9" s="68" t="s">
        <v>373</v>
      </c>
      <c r="AD9" s="68"/>
      <c r="AE9" s="68"/>
      <c r="AF9" s="68">
        <v>7370</v>
      </c>
      <c r="AG9" s="68" t="s">
        <v>374</v>
      </c>
      <c r="AH9" s="68"/>
      <c r="AI9" s="68"/>
      <c r="AJ9" s="68">
        <v>57370</v>
      </c>
      <c r="AK9" s="70" t="s">
        <v>375</v>
      </c>
      <c r="AL9" s="70" t="s">
        <v>376</v>
      </c>
      <c r="AM9" s="71">
        <v>43.8</v>
      </c>
      <c r="AN9" s="72">
        <f>AM9/0.444</f>
        <v>98.648648648648646</v>
      </c>
      <c r="AO9" s="73">
        <v>4.5599999999999996</v>
      </c>
      <c r="AP9" s="73">
        <v>4.5599999999999996</v>
      </c>
      <c r="AQ9" s="73">
        <v>9.5</v>
      </c>
      <c r="AR9" s="73">
        <v>0.12</v>
      </c>
      <c r="AS9" s="73">
        <v>0.8</v>
      </c>
      <c r="AT9" s="73">
        <v>14.49</v>
      </c>
      <c r="AU9" s="73">
        <v>10.11</v>
      </c>
      <c r="AV9" s="73">
        <v>10.35</v>
      </c>
      <c r="AW9" s="73">
        <v>0.877</v>
      </c>
      <c r="AX9" s="73">
        <v>4.8</v>
      </c>
      <c r="AY9" s="74" t="s">
        <v>68</v>
      </c>
      <c r="AZ9" s="75">
        <v>6</v>
      </c>
      <c r="BA9" s="75">
        <v>11</v>
      </c>
      <c r="BB9" s="75">
        <v>4</v>
      </c>
      <c r="BC9" s="75">
        <v>264</v>
      </c>
      <c r="BD9" s="75">
        <v>261</v>
      </c>
      <c r="BE9" s="70" t="s">
        <v>377</v>
      </c>
      <c r="BF9" s="70" t="s">
        <v>67</v>
      </c>
      <c r="BG9" s="74"/>
      <c r="BH9" s="19"/>
      <c r="BI9" s="19"/>
      <c r="BJ9" s="76"/>
      <c r="BK9" s="76"/>
      <c r="BL9" s="76"/>
    </row>
    <row r="10" spans="1:64" s="8" customFormat="1">
      <c r="A10" s="2"/>
      <c r="B10" s="3"/>
      <c r="C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4" s="8" customFormat="1">
      <c r="A11" s="2"/>
      <c r="B11" s="3"/>
      <c r="C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4" s="8" customFormat="1">
      <c r="A12" s="2"/>
      <c r="B12" s="3"/>
      <c r="C12" s="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4" s="8" customFormat="1">
      <c r="A13" s="2"/>
      <c r="B13" s="3"/>
      <c r="C13" s="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4" s="8" customFormat="1">
      <c r="A14" s="2"/>
      <c r="B14" s="3"/>
      <c r="C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4" s="8" customFormat="1">
      <c r="A15" s="2"/>
      <c r="B15" s="3"/>
      <c r="C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4" s="8" customFormat="1">
      <c r="A16" s="2"/>
      <c r="B16" s="3"/>
      <c r="C16" s="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8" customFormat="1">
      <c r="A17" s="2"/>
      <c r="B17" s="3"/>
      <c r="C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/>
      <c r="AN17" s="1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8" customFormat="1">
      <c r="A18" s="2"/>
      <c r="B18" s="3"/>
      <c r="C18" s="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2"/>
      <c r="AN18" s="13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8" customFormat="1">
      <c r="A19" s="2"/>
      <c r="B19" s="3"/>
      <c r="C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  <c r="AN19" s="13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8" customFormat="1">
      <c r="A20" s="2"/>
      <c r="B20" s="3"/>
      <c r="C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2"/>
      <c r="AN20" s="13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8" customFormat="1">
      <c r="A21" s="2"/>
      <c r="B21" s="3"/>
      <c r="C21" s="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  <c r="AN21" s="13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8" customFormat="1">
      <c r="A22" s="2"/>
      <c r="B22" s="3"/>
      <c r="C22" s="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8" customFormat="1">
      <c r="A23" s="2"/>
      <c r="B23" s="3"/>
      <c r="C23" s="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8" customFormat="1">
      <c r="A24" s="2"/>
      <c r="B24" s="3"/>
      <c r="C24" s="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/>
      <c r="AN24" s="1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8" customFormat="1">
      <c r="A25" s="2"/>
      <c r="B25" s="3"/>
      <c r="C25" s="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/>
      <c r="AN25" s="13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8" customFormat="1">
      <c r="A26" s="2"/>
      <c r="B26" s="3"/>
      <c r="C26" s="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N26" s="13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s="8" customFormat="1">
      <c r="A27" s="2"/>
      <c r="B27" s="3"/>
      <c r="C27" s="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8" customFormat="1">
      <c r="A28" s="2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/>
      <c r="AN28" s="13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2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3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2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  <c r="AN30" s="13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2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/>
      <c r="AN31" s="1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2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  <c r="AN32" s="13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2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3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2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13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2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13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2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3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2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2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3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2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/>
      <c r="AN39" s="13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2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3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2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3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2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  <c r="AN42" s="1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2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/>
      <c r="AN43" s="1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2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  <c r="AN44" s="13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2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2"/>
      <c r="AN45" s="13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2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3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2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3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2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2"/>
      <c r="AN48" s="13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2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2"/>
      <c r="AN49" s="13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2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2"/>
      <c r="AN50" s="13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2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2"/>
      <c r="AN51" s="13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2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3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2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2"/>
      <c r="AN53" s="13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2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2"/>
      <c r="AN54" s="13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2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2"/>
      <c r="AN55" s="13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2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2"/>
      <c r="AN56" s="13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2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2"/>
      <c r="AN57" s="13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2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2"/>
      <c r="AN58" s="13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2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2"/>
      <c r="AN59" s="13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2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2"/>
      <c r="AN60" s="13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2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2"/>
      <c r="AN61" s="13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2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2"/>
      <c r="AN62" s="13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2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2"/>
      <c r="AN63" s="13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2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2"/>
      <c r="AN64" s="13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2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  <c r="AN65" s="13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2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  <c r="AN66" s="13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2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2"/>
      <c r="AN67" s="13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2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2"/>
      <c r="AN68" s="13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2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2"/>
      <c r="AN69" s="13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2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2"/>
      <c r="AN70" s="13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2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2"/>
      <c r="AN71" s="13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2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2"/>
      <c r="AN72" s="13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2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2"/>
      <c r="AN73" s="13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2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2"/>
      <c r="AN74" s="13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2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2"/>
      <c r="AN75" s="13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2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2"/>
      <c r="AN76" s="13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2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2"/>
      <c r="AN77" s="13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2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2"/>
      <c r="AN78" s="13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2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2"/>
      <c r="AN79" s="13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2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2"/>
      <c r="AN80" s="13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2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2"/>
      <c r="AN81" s="13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2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2"/>
      <c r="AN82" s="13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2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2"/>
      <c r="AN83" s="13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2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2"/>
      <c r="AN84" s="13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2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2"/>
      <c r="AN85" s="13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2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2"/>
      <c r="AN86" s="13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2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2"/>
      <c r="AN87" s="13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2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2"/>
      <c r="AN88" s="13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2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2"/>
      <c r="AN89" s="13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2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2"/>
      <c r="AN90" s="13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2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2"/>
      <c r="AN91" s="13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2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2"/>
      <c r="AN92" s="13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2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2"/>
      <c r="AN93" s="13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2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2"/>
      <c r="AN94" s="13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2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2"/>
      <c r="AN95" s="13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2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2"/>
      <c r="AN96" s="13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2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2"/>
      <c r="AN97" s="13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2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2"/>
      <c r="AN98" s="13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2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2"/>
      <c r="AN99" s="13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2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2"/>
      <c r="AN100" s="13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2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2"/>
      <c r="AN101" s="13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2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2"/>
      <c r="AN102" s="13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2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2"/>
      <c r="AN103" s="13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2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2"/>
      <c r="AN104" s="13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2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2"/>
      <c r="AN105" s="13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2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2"/>
      <c r="AN106" s="13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2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2"/>
      <c r="AN107" s="13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2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2"/>
      <c r="AN108" s="13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2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2"/>
      <c r="AN109" s="13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2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2"/>
      <c r="AN110" s="13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2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2"/>
      <c r="AN111" s="13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2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2"/>
      <c r="AN112" s="13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2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2"/>
      <c r="AN113" s="13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2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2"/>
      <c r="AN114" s="13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2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2"/>
      <c r="AN115" s="13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2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2"/>
      <c r="AN116" s="13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2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2"/>
      <c r="AN117" s="13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2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2"/>
      <c r="AN118" s="13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2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2"/>
      <c r="AN119" s="13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2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2"/>
      <c r="AN120" s="13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2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2"/>
      <c r="AN121" s="13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2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2"/>
      <c r="AN122" s="13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2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2"/>
      <c r="AN123" s="13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2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2"/>
      <c r="AN124" s="13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2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2"/>
      <c r="AN125" s="13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</sheetData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D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5"/>
  <cols>
    <col min="1" max="1" width="12.28515625" style="2" bestFit="1" customWidth="1"/>
    <col min="2" max="2" width="26.140625" style="3" customWidth="1"/>
    <col min="3" max="3" width="12.5703125" style="3" hidden="1" customWidth="1"/>
    <col min="4" max="4" width="40.5703125" style="8" customWidth="1"/>
    <col min="5" max="5" width="28.5703125" style="11" customWidth="1"/>
    <col min="6" max="6" width="18.5703125" style="11" customWidth="1"/>
    <col min="7" max="7" width="16.140625" style="11" customWidth="1"/>
    <col min="8" max="8" width="15.140625" style="11" customWidth="1"/>
    <col min="9" max="9" width="18.28515625" style="11" customWidth="1"/>
    <col min="10" max="16" width="13.85546875" style="11" customWidth="1"/>
    <col min="17" max="17" width="14.42578125" style="11" customWidth="1"/>
    <col min="18" max="18" width="11.42578125" style="11" customWidth="1"/>
    <col min="19" max="22" width="10.7109375" style="11" customWidth="1"/>
    <col min="23" max="23" width="16" style="11" customWidth="1"/>
    <col min="24" max="24" width="11.85546875" style="11" customWidth="1"/>
    <col min="25" max="27" width="10.7109375" style="11" customWidth="1"/>
    <col min="28" max="28" width="16.7109375" style="11" customWidth="1"/>
    <col min="29" max="29" width="15.5703125" style="11" customWidth="1"/>
    <col min="30" max="33" width="10.7109375" style="11" customWidth="1"/>
    <col min="34" max="34" width="14.140625" style="11" customWidth="1"/>
    <col min="35" max="35" width="10.7109375" style="11" customWidth="1"/>
    <col min="36" max="36" width="19.42578125" style="11" customWidth="1"/>
    <col min="37" max="37" width="17.85546875" style="11" customWidth="1"/>
    <col min="38" max="38" width="16.85546875" style="11" customWidth="1"/>
    <col min="39" max="39" width="9.140625" style="12" customWidth="1"/>
    <col min="40" max="40" width="9.140625" style="13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1" ht="23.25">
      <c r="E2" s="9" t="s">
        <v>175</v>
      </c>
      <c r="F2" s="9"/>
      <c r="G2" s="10"/>
      <c r="I2" s="51"/>
      <c r="J2" s="9"/>
      <c r="K2" s="9"/>
      <c r="L2" s="9"/>
      <c r="M2" s="9"/>
      <c r="N2" s="9"/>
      <c r="O2" s="9"/>
      <c r="P2" s="9"/>
    </row>
    <row r="4" spans="1:61" ht="15.75">
      <c r="B4" s="15" t="s">
        <v>17</v>
      </c>
      <c r="C4" s="15"/>
      <c r="G4" s="16" t="s">
        <v>15</v>
      </c>
      <c r="H4" s="17"/>
      <c r="I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0" t="s">
        <v>19</v>
      </c>
      <c r="AL4" s="21"/>
      <c r="AM4" s="22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1" ht="30">
      <c r="A5" s="27" t="s">
        <v>0</v>
      </c>
      <c r="B5" s="28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176</v>
      </c>
      <c r="K5" s="31" t="s">
        <v>54</v>
      </c>
      <c r="L5" s="31" t="s">
        <v>177</v>
      </c>
      <c r="M5" s="31" t="s">
        <v>59</v>
      </c>
      <c r="N5" s="31" t="s">
        <v>178</v>
      </c>
      <c r="O5" s="31" t="s">
        <v>61</v>
      </c>
      <c r="P5" s="31" t="s">
        <v>179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3" t="s">
        <v>18</v>
      </c>
      <c r="AL5" s="33" t="s">
        <v>55</v>
      </c>
      <c r="AM5" s="34" t="s">
        <v>20</v>
      </c>
      <c r="AN5" s="52" t="s">
        <v>21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1" s="39" customFormat="1">
      <c r="A6" s="53" t="s">
        <v>180</v>
      </c>
      <c r="B6" s="3" t="s">
        <v>63</v>
      </c>
      <c r="C6" s="3" t="s">
        <v>85</v>
      </c>
      <c r="D6" s="14" t="s">
        <v>181</v>
      </c>
      <c r="E6" s="14" t="s">
        <v>182</v>
      </c>
      <c r="F6" s="54">
        <v>2250051239</v>
      </c>
      <c r="G6" s="2"/>
      <c r="H6" s="2"/>
      <c r="I6" s="2"/>
      <c r="J6" s="2"/>
      <c r="K6" s="2"/>
      <c r="L6" s="2"/>
      <c r="M6" s="2"/>
      <c r="N6" s="2"/>
      <c r="O6" s="2"/>
      <c r="P6" s="2"/>
      <c r="Q6" s="11" t="s">
        <v>183</v>
      </c>
      <c r="R6" s="2"/>
      <c r="S6" s="2"/>
      <c r="T6" s="2"/>
      <c r="U6" s="11" t="s">
        <v>184</v>
      </c>
      <c r="V6" s="2"/>
      <c r="W6" s="11" t="s">
        <v>185</v>
      </c>
      <c r="X6" s="2"/>
      <c r="Y6" s="2"/>
      <c r="Z6" s="2"/>
      <c r="AA6" s="2"/>
      <c r="AB6" s="2"/>
      <c r="AC6" s="2"/>
      <c r="AD6" s="2"/>
      <c r="AE6" s="2"/>
      <c r="AF6" s="2">
        <v>2019</v>
      </c>
      <c r="AG6" s="2"/>
      <c r="AH6" s="2"/>
      <c r="AI6" s="2"/>
      <c r="AJ6" s="2">
        <v>42019</v>
      </c>
      <c r="AK6" s="4" t="s">
        <v>186</v>
      </c>
      <c r="AL6" s="4" t="s">
        <v>187</v>
      </c>
      <c r="AM6" s="55">
        <v>109.5</v>
      </c>
      <c r="AN6" s="55">
        <f t="shared" ref="AN6:AN21" si="0">AM6/0.444</f>
        <v>246.62162162162161</v>
      </c>
      <c r="AO6" s="4">
        <v>25.84</v>
      </c>
      <c r="AP6" s="4">
        <v>10.84</v>
      </c>
      <c r="AQ6" s="4">
        <v>11.18</v>
      </c>
      <c r="AR6" s="4">
        <v>1.81</v>
      </c>
      <c r="AS6" s="4">
        <v>7.43</v>
      </c>
      <c r="AT6" s="4">
        <v>25.84</v>
      </c>
      <c r="AU6" s="4">
        <v>10.84</v>
      </c>
      <c r="AV6" s="4">
        <v>11.18</v>
      </c>
      <c r="AW6" s="4">
        <v>1.81</v>
      </c>
      <c r="AX6" s="4">
        <v>7.43</v>
      </c>
      <c r="AY6" s="46" t="s">
        <v>68</v>
      </c>
      <c r="AZ6" s="4">
        <v>1</v>
      </c>
      <c r="BA6" s="4">
        <v>12</v>
      </c>
      <c r="BB6" s="4">
        <v>1</v>
      </c>
      <c r="BC6" s="4">
        <v>12</v>
      </c>
      <c r="BD6" s="4">
        <v>139</v>
      </c>
      <c r="BE6" s="4" t="s">
        <v>65</v>
      </c>
      <c r="BF6" s="4" t="s">
        <v>107</v>
      </c>
      <c r="BG6" s="4"/>
      <c r="BH6" s="2"/>
      <c r="BI6" s="2"/>
    </row>
    <row r="7" spans="1:61" s="39" customFormat="1" ht="60">
      <c r="A7" s="53" t="s">
        <v>188</v>
      </c>
      <c r="B7" s="3" t="s">
        <v>63</v>
      </c>
      <c r="C7" s="3" t="s">
        <v>85</v>
      </c>
      <c r="D7" s="8" t="s">
        <v>189</v>
      </c>
      <c r="E7" s="11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83490</v>
      </c>
      <c r="T7" s="2"/>
      <c r="U7" s="2"/>
      <c r="V7" s="2"/>
      <c r="W7" s="11" t="s">
        <v>190</v>
      </c>
      <c r="X7" s="2"/>
      <c r="Y7" s="2"/>
      <c r="Z7" s="2"/>
      <c r="AA7" s="2"/>
      <c r="AB7" s="2"/>
      <c r="AC7" s="2"/>
      <c r="AD7" s="2"/>
      <c r="AE7" s="2"/>
      <c r="AF7" s="2">
        <v>9490</v>
      </c>
      <c r="AG7" s="2"/>
      <c r="AH7" s="2"/>
      <c r="AI7" s="2"/>
      <c r="AJ7" s="2">
        <v>49490</v>
      </c>
      <c r="AK7" s="4" t="s">
        <v>191</v>
      </c>
      <c r="AL7" s="4" t="s">
        <v>192</v>
      </c>
      <c r="AM7" s="55">
        <v>48.26</v>
      </c>
      <c r="AN7" s="55">
        <f t="shared" si="0"/>
        <v>108.69369369369369</v>
      </c>
      <c r="AO7" s="4">
        <v>7.12</v>
      </c>
      <c r="AP7" s="4">
        <v>4.62</v>
      </c>
      <c r="AQ7" s="4">
        <v>15.49</v>
      </c>
      <c r="AR7" s="4">
        <v>0.28999999999999998</v>
      </c>
      <c r="AS7" s="4">
        <v>2.15</v>
      </c>
      <c r="AT7" s="4">
        <v>15.86</v>
      </c>
      <c r="AU7" s="4">
        <v>15.86</v>
      </c>
      <c r="AV7" s="4">
        <v>16.600000000000001</v>
      </c>
      <c r="AW7" s="4">
        <v>2.48</v>
      </c>
      <c r="AX7" s="4">
        <v>12.9</v>
      </c>
      <c r="AY7" s="46" t="s">
        <v>68</v>
      </c>
      <c r="AZ7" s="4">
        <v>6</v>
      </c>
      <c r="BA7" s="4">
        <v>6</v>
      </c>
      <c r="BB7" s="4">
        <v>2</v>
      </c>
      <c r="BC7" s="4">
        <v>72</v>
      </c>
      <c r="BD7" s="4">
        <v>205</v>
      </c>
      <c r="BE7" s="4" t="s">
        <v>65</v>
      </c>
      <c r="BF7" s="4" t="s">
        <v>107</v>
      </c>
      <c r="BG7" s="4"/>
      <c r="BH7" s="2"/>
      <c r="BI7" s="2"/>
    </row>
    <row r="8" spans="1:61" s="39" customFormat="1" ht="45">
      <c r="A8" s="3" t="s">
        <v>193</v>
      </c>
      <c r="B8" s="56" t="s">
        <v>194</v>
      </c>
      <c r="C8" s="56" t="s">
        <v>85</v>
      </c>
      <c r="D8" s="57" t="s">
        <v>195</v>
      </c>
      <c r="E8" s="11" t="s">
        <v>196</v>
      </c>
      <c r="F8" s="11" t="s">
        <v>197</v>
      </c>
      <c r="G8" s="11" t="s">
        <v>198</v>
      </c>
      <c r="H8" s="11" t="s">
        <v>199</v>
      </c>
      <c r="I8" s="11" t="s">
        <v>83</v>
      </c>
      <c r="J8" s="2">
        <v>2453819</v>
      </c>
      <c r="K8" s="11" t="s">
        <v>200</v>
      </c>
      <c r="L8" s="2">
        <v>7962890</v>
      </c>
      <c r="M8" s="11" t="s">
        <v>201</v>
      </c>
      <c r="N8" s="2">
        <v>191525</v>
      </c>
      <c r="O8" s="2"/>
      <c r="P8" s="2"/>
      <c r="Q8" s="11" t="s">
        <v>202</v>
      </c>
      <c r="R8" s="2"/>
      <c r="S8" s="2">
        <v>83810</v>
      </c>
      <c r="T8" s="2"/>
      <c r="U8" s="11" t="s">
        <v>203</v>
      </c>
      <c r="V8" s="2"/>
      <c r="W8" s="11" t="s">
        <v>204</v>
      </c>
      <c r="X8" s="2"/>
      <c r="Y8" s="2"/>
      <c r="Z8" s="11" t="s">
        <v>205</v>
      </c>
      <c r="AA8" s="2"/>
      <c r="AB8" s="2"/>
      <c r="AC8" s="11" t="s">
        <v>206</v>
      </c>
      <c r="AD8" s="2"/>
      <c r="AE8" s="2"/>
      <c r="AF8" s="2">
        <v>9810</v>
      </c>
      <c r="AG8" s="2"/>
      <c r="AH8" s="2"/>
      <c r="AI8" s="2"/>
      <c r="AJ8" s="2">
        <v>49810</v>
      </c>
      <c r="AK8" s="4" t="s">
        <v>207</v>
      </c>
      <c r="AL8" s="4" t="s">
        <v>208</v>
      </c>
      <c r="AM8" s="55">
        <v>91.12</v>
      </c>
      <c r="AN8" s="55">
        <f t="shared" si="0"/>
        <v>205.22522522522524</v>
      </c>
      <c r="AO8" s="4">
        <v>8.34</v>
      </c>
      <c r="AP8" s="4">
        <v>8.34</v>
      </c>
      <c r="AQ8" s="4">
        <v>24.43</v>
      </c>
      <c r="AR8" s="4">
        <v>0.98</v>
      </c>
      <c r="AS8" s="4">
        <v>3.05</v>
      </c>
      <c r="AT8" s="4">
        <v>8.34</v>
      </c>
      <c r="AU8" s="4">
        <v>8.34</v>
      </c>
      <c r="AV8" s="4">
        <v>24.43</v>
      </c>
      <c r="AW8" s="4">
        <v>0.98</v>
      </c>
      <c r="AX8" s="4">
        <v>3.05</v>
      </c>
      <c r="AY8" s="46" t="s">
        <v>68</v>
      </c>
      <c r="AZ8" s="4">
        <v>1</v>
      </c>
      <c r="BA8" s="4">
        <v>30</v>
      </c>
      <c r="BB8" s="4">
        <v>1</v>
      </c>
      <c r="BC8" s="4">
        <v>30</v>
      </c>
      <c r="BD8" s="4">
        <v>142</v>
      </c>
      <c r="BE8" s="4" t="s">
        <v>65</v>
      </c>
      <c r="BF8" s="4" t="s">
        <v>107</v>
      </c>
      <c r="BG8" s="4"/>
      <c r="BH8" s="2"/>
      <c r="BI8" s="2"/>
    </row>
    <row r="9" spans="1:61" s="39" customFormat="1" ht="60">
      <c r="A9" s="3" t="s">
        <v>209</v>
      </c>
      <c r="B9" s="56" t="s">
        <v>210</v>
      </c>
      <c r="C9" s="56" t="s">
        <v>85</v>
      </c>
      <c r="D9" s="5" t="s">
        <v>211</v>
      </c>
      <c r="E9" s="11" t="s">
        <v>198</v>
      </c>
      <c r="F9" s="11" t="s">
        <v>212</v>
      </c>
      <c r="G9" s="11" t="s">
        <v>83</v>
      </c>
      <c r="H9" s="2">
        <v>2456376</v>
      </c>
      <c r="I9" s="11" t="s">
        <v>213</v>
      </c>
      <c r="J9" s="2">
        <v>32925285</v>
      </c>
      <c r="K9" s="11" t="s">
        <v>214</v>
      </c>
      <c r="L9" s="11" t="s">
        <v>215</v>
      </c>
      <c r="M9" s="11" t="s">
        <v>216</v>
      </c>
      <c r="N9" s="11" t="s">
        <v>217</v>
      </c>
      <c r="O9" s="11"/>
      <c r="P9" s="11"/>
      <c r="Q9" s="11" t="s">
        <v>218</v>
      </c>
      <c r="R9" s="2"/>
      <c r="S9" s="2">
        <v>83710</v>
      </c>
      <c r="T9" s="2"/>
      <c r="U9" s="11" t="s">
        <v>219</v>
      </c>
      <c r="V9" s="2"/>
      <c r="W9" s="11" t="s">
        <v>220</v>
      </c>
      <c r="X9" s="2"/>
      <c r="Y9" s="2"/>
      <c r="Z9" s="2"/>
      <c r="AA9" s="2"/>
      <c r="AB9" s="2"/>
      <c r="AC9" s="11" t="s">
        <v>221</v>
      </c>
      <c r="AD9" s="2"/>
      <c r="AE9" s="2"/>
      <c r="AF9" s="2">
        <v>9710</v>
      </c>
      <c r="AG9" s="2"/>
      <c r="AH9" s="2"/>
      <c r="AI9" s="2"/>
      <c r="AJ9" s="2">
        <v>49710</v>
      </c>
      <c r="AK9" s="4" t="s">
        <v>222</v>
      </c>
      <c r="AL9" s="4" t="s">
        <v>223</v>
      </c>
      <c r="AM9" s="55">
        <v>66.39</v>
      </c>
      <c r="AN9" s="55">
        <f t="shared" si="0"/>
        <v>149.52702702702703</v>
      </c>
      <c r="AO9" s="4">
        <v>6.34</v>
      </c>
      <c r="AP9" s="4">
        <v>6.34</v>
      </c>
      <c r="AQ9" s="4">
        <v>21.93</v>
      </c>
      <c r="AR9" s="4">
        <v>0.51</v>
      </c>
      <c r="AS9" s="4">
        <v>1.85</v>
      </c>
      <c r="AT9" s="4">
        <v>6.34</v>
      </c>
      <c r="AU9" s="4">
        <v>6.34</v>
      </c>
      <c r="AV9" s="4">
        <v>21.93</v>
      </c>
      <c r="AW9" s="4">
        <v>0.51</v>
      </c>
      <c r="AX9" s="4">
        <v>1.85</v>
      </c>
      <c r="AY9" s="46" t="s">
        <v>224</v>
      </c>
      <c r="AZ9" s="4">
        <v>1</v>
      </c>
      <c r="BA9" s="4">
        <v>48</v>
      </c>
      <c r="BB9" s="4">
        <v>2</v>
      </c>
      <c r="BC9" s="4">
        <v>96</v>
      </c>
      <c r="BD9" s="4">
        <v>228</v>
      </c>
      <c r="BE9" s="4" t="s">
        <v>225</v>
      </c>
      <c r="BF9" s="4" t="s">
        <v>107</v>
      </c>
      <c r="BG9" s="4"/>
      <c r="BH9" s="2"/>
      <c r="BI9" s="2"/>
    </row>
    <row r="10" spans="1:61" s="39" customFormat="1" ht="30">
      <c r="A10" s="53" t="s">
        <v>226</v>
      </c>
      <c r="B10" s="3" t="s">
        <v>227</v>
      </c>
      <c r="C10" s="3" t="s">
        <v>172</v>
      </c>
      <c r="D10" s="8" t="s">
        <v>228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" t="s">
        <v>229</v>
      </c>
      <c r="R10" s="2"/>
      <c r="S10" s="2">
        <v>86976</v>
      </c>
      <c r="T10" s="2"/>
      <c r="U10" s="2"/>
      <c r="V10" s="2"/>
      <c r="W10" s="2"/>
      <c r="X10" s="2"/>
      <c r="Y10" s="11" t="s">
        <v>230</v>
      </c>
      <c r="Z10" s="11"/>
      <c r="AA10" s="2"/>
      <c r="AB10" s="2"/>
      <c r="AC10" s="2"/>
      <c r="AD10" s="2"/>
      <c r="AE10" s="2"/>
      <c r="AF10" s="2">
        <v>3976</v>
      </c>
      <c r="AG10" s="2"/>
      <c r="AH10" s="2"/>
      <c r="AI10" s="2"/>
      <c r="AJ10" s="2">
        <v>33976</v>
      </c>
      <c r="AK10" s="4" t="s">
        <v>231</v>
      </c>
      <c r="AL10" s="4" t="s">
        <v>232</v>
      </c>
      <c r="AM10" s="55">
        <v>31.38</v>
      </c>
      <c r="AN10" s="55">
        <f t="shared" si="0"/>
        <v>70.675675675675677</v>
      </c>
      <c r="AO10" s="4">
        <v>3.93</v>
      </c>
      <c r="AP10" s="4">
        <v>3.93</v>
      </c>
      <c r="AQ10" s="4">
        <v>7</v>
      </c>
      <c r="AR10" s="4">
        <v>0.06</v>
      </c>
      <c r="AS10" s="4">
        <v>0.5</v>
      </c>
      <c r="AT10" s="4">
        <v>12.36</v>
      </c>
      <c r="AU10" s="4">
        <v>8.36</v>
      </c>
      <c r="AV10" s="4">
        <v>7.6</v>
      </c>
      <c r="AW10" s="4">
        <v>0.48</v>
      </c>
      <c r="AX10" s="4">
        <v>3</v>
      </c>
      <c r="AY10" s="46" t="s">
        <v>68</v>
      </c>
      <c r="AZ10" s="4">
        <v>6</v>
      </c>
      <c r="BA10" s="4">
        <v>16</v>
      </c>
      <c r="BB10" s="4">
        <v>5</v>
      </c>
      <c r="BC10" s="4">
        <v>480</v>
      </c>
      <c r="BD10" s="4">
        <v>290</v>
      </c>
      <c r="BE10" s="4" t="s">
        <v>65</v>
      </c>
      <c r="BF10" s="4" t="s">
        <v>67</v>
      </c>
      <c r="BG10" s="4"/>
      <c r="BH10" s="2"/>
      <c r="BI10" s="2"/>
    </row>
    <row r="11" spans="1:61" s="39" customFormat="1">
      <c r="A11" s="58" t="s">
        <v>233</v>
      </c>
      <c r="B11" s="56" t="s">
        <v>234</v>
      </c>
      <c r="C11" s="3" t="s">
        <v>172</v>
      </c>
      <c r="D11" s="8" t="s">
        <v>235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 t="s">
        <v>236</v>
      </c>
      <c r="R11" s="2"/>
      <c r="S11" s="2"/>
      <c r="T11" s="2"/>
      <c r="U11" s="2"/>
      <c r="V11" s="2"/>
      <c r="W11" s="11" t="s">
        <v>237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4" t="s">
        <v>238</v>
      </c>
      <c r="AL11" s="4" t="s">
        <v>239</v>
      </c>
      <c r="AM11" s="55">
        <v>41.94</v>
      </c>
      <c r="AN11" s="55">
        <f t="shared" si="0"/>
        <v>94.459459459459453</v>
      </c>
      <c r="AO11" s="4">
        <v>4</v>
      </c>
      <c r="AP11" s="4">
        <v>4</v>
      </c>
      <c r="AQ11" s="4">
        <v>6</v>
      </c>
      <c r="AR11" s="4">
        <v>0.06</v>
      </c>
      <c r="AS11" s="4">
        <v>1.37</v>
      </c>
      <c r="AT11" s="4">
        <v>12.34</v>
      </c>
      <c r="AU11" s="4">
        <v>8.34</v>
      </c>
      <c r="AV11" s="4">
        <v>6.93</v>
      </c>
      <c r="AW11" s="4">
        <v>0.41</v>
      </c>
      <c r="AX11" s="4">
        <v>8.2200000000000006</v>
      </c>
      <c r="AY11" s="46" t="s">
        <v>68</v>
      </c>
      <c r="AZ11" s="4">
        <v>6</v>
      </c>
      <c r="BA11" s="4">
        <v>20</v>
      </c>
      <c r="BB11" s="4">
        <v>7</v>
      </c>
      <c r="BC11" s="4">
        <v>840</v>
      </c>
      <c r="BD11" s="4">
        <v>1201</v>
      </c>
      <c r="BE11" s="4" t="s">
        <v>240</v>
      </c>
      <c r="BF11" s="4" t="s">
        <v>67</v>
      </c>
      <c r="BG11" s="4"/>
      <c r="BH11" s="2"/>
      <c r="BI11" s="2"/>
    </row>
    <row r="12" spans="1:61" s="39" customFormat="1">
      <c r="A12" s="3" t="s">
        <v>241</v>
      </c>
      <c r="B12" s="56" t="s">
        <v>242</v>
      </c>
      <c r="C12" s="3" t="s">
        <v>172</v>
      </c>
      <c r="D12" s="8" t="s">
        <v>243</v>
      </c>
      <c r="E12" s="11" t="s">
        <v>244</v>
      </c>
      <c r="F12" s="11" t="s">
        <v>245</v>
      </c>
      <c r="G12" s="11" t="s">
        <v>244</v>
      </c>
      <c r="H12" s="11" t="s">
        <v>246</v>
      </c>
      <c r="I12" s="11" t="s">
        <v>82</v>
      </c>
      <c r="J12" s="11" t="s">
        <v>247</v>
      </c>
      <c r="K12" s="2"/>
      <c r="L12" s="2"/>
      <c r="M12" s="2"/>
      <c r="N12" s="2"/>
      <c r="O12" s="2"/>
      <c r="P12" s="2"/>
      <c r="Q12" s="11" t="s">
        <v>248</v>
      </c>
      <c r="R12" s="2"/>
      <c r="S12" s="2">
        <v>86942</v>
      </c>
      <c r="T12" s="2"/>
      <c r="U12" s="11" t="s">
        <v>249</v>
      </c>
      <c r="V12" s="2"/>
      <c r="W12" s="11" t="s">
        <v>250</v>
      </c>
      <c r="X12" s="2"/>
      <c r="Y12" s="2"/>
      <c r="Z12" s="2"/>
      <c r="AA12" s="2"/>
      <c r="AB12" s="2"/>
      <c r="AC12" s="2"/>
      <c r="AD12" s="2"/>
      <c r="AE12" s="2"/>
      <c r="AF12" s="2">
        <v>3942</v>
      </c>
      <c r="AG12" s="2"/>
      <c r="AH12" s="2"/>
      <c r="AI12" s="2"/>
      <c r="AJ12" s="2">
        <v>33942</v>
      </c>
      <c r="AK12" s="4" t="s">
        <v>251</v>
      </c>
      <c r="AL12" s="4" t="s">
        <v>252</v>
      </c>
      <c r="AM12" s="55">
        <v>55.1</v>
      </c>
      <c r="AN12" s="55">
        <f t="shared" si="0"/>
        <v>124.09909909909911</v>
      </c>
      <c r="AO12" s="4">
        <v>5.25</v>
      </c>
      <c r="AP12" s="4">
        <v>5.25</v>
      </c>
      <c r="AQ12" s="4">
        <v>10.25</v>
      </c>
      <c r="AR12" s="4">
        <v>0.16</v>
      </c>
      <c r="AS12" s="4">
        <v>2.98</v>
      </c>
      <c r="AT12" s="4">
        <v>16.09</v>
      </c>
      <c r="AU12" s="4">
        <v>10.84</v>
      </c>
      <c r="AV12" s="4">
        <v>11.18</v>
      </c>
      <c r="AW12" s="4">
        <v>1.1299999999999999</v>
      </c>
      <c r="AX12" s="4">
        <v>17.88</v>
      </c>
      <c r="AY12" s="46" t="s">
        <v>68</v>
      </c>
      <c r="AZ12" s="4">
        <v>6</v>
      </c>
      <c r="BA12" s="4">
        <v>10</v>
      </c>
      <c r="BB12" s="4">
        <v>4</v>
      </c>
      <c r="BC12" s="4">
        <v>240</v>
      </c>
      <c r="BD12" s="4">
        <v>765</v>
      </c>
      <c r="BE12" s="4" t="s">
        <v>240</v>
      </c>
      <c r="BF12" s="4" t="s">
        <v>67</v>
      </c>
      <c r="BG12" s="4"/>
      <c r="BH12" s="2"/>
      <c r="BI12" s="2"/>
    </row>
    <row r="13" spans="1:61" s="39" customFormat="1" ht="30">
      <c r="A13" s="3" t="s">
        <v>253</v>
      </c>
      <c r="B13" s="56" t="s">
        <v>254</v>
      </c>
      <c r="C13" s="3" t="s">
        <v>172</v>
      </c>
      <c r="D13" s="8" t="s">
        <v>255</v>
      </c>
      <c r="E13" s="11" t="s">
        <v>256</v>
      </c>
      <c r="F13" s="11" t="s">
        <v>257</v>
      </c>
      <c r="G13" s="11" t="s">
        <v>258</v>
      </c>
      <c r="H13" s="2">
        <v>2992300</v>
      </c>
      <c r="I13" s="11" t="s">
        <v>52</v>
      </c>
      <c r="J13" s="11" t="s">
        <v>259</v>
      </c>
      <c r="K13" s="11" t="s">
        <v>260</v>
      </c>
      <c r="L13" s="11" t="s">
        <v>261</v>
      </c>
      <c r="M13" s="11"/>
      <c r="N13" s="11"/>
      <c r="O13" s="11"/>
      <c r="P13" s="11"/>
      <c r="Q13" s="11" t="s">
        <v>262</v>
      </c>
      <c r="R13" s="2"/>
      <c r="S13" s="2">
        <v>86647</v>
      </c>
      <c r="T13" s="2"/>
      <c r="U13" s="2"/>
      <c r="V13" s="2"/>
      <c r="W13" s="11" t="s">
        <v>263</v>
      </c>
      <c r="X13" s="11"/>
      <c r="Y13" s="11" t="s">
        <v>264</v>
      </c>
      <c r="Z13" s="11"/>
      <c r="AA13" s="2"/>
      <c r="AB13" s="2"/>
      <c r="AC13" s="2" t="s">
        <v>265</v>
      </c>
      <c r="AD13" s="2"/>
      <c r="AE13" s="2"/>
      <c r="AF13" s="2">
        <v>3647</v>
      </c>
      <c r="AG13" s="11" t="s">
        <v>266</v>
      </c>
      <c r="AH13" s="2"/>
      <c r="AI13" s="2"/>
      <c r="AJ13" s="2">
        <v>33647</v>
      </c>
      <c r="AK13" s="4" t="s">
        <v>267</v>
      </c>
      <c r="AL13" s="4" t="s">
        <v>268</v>
      </c>
      <c r="AM13" s="55">
        <v>27.84</v>
      </c>
      <c r="AN13" s="55">
        <f t="shared" si="0"/>
        <v>62.702702702702702</v>
      </c>
      <c r="AO13" s="4">
        <v>3.5</v>
      </c>
      <c r="AP13" s="4">
        <v>3.5</v>
      </c>
      <c r="AQ13" s="4">
        <v>7</v>
      </c>
      <c r="AR13" s="4">
        <v>0.05</v>
      </c>
      <c r="AS13" s="4">
        <v>1.33</v>
      </c>
      <c r="AT13" s="4">
        <v>11.34</v>
      </c>
      <c r="AU13" s="4">
        <v>7.34</v>
      </c>
      <c r="AV13" s="4">
        <v>7.93</v>
      </c>
      <c r="AW13" s="4">
        <v>0.38</v>
      </c>
      <c r="AX13" s="4">
        <v>7.98</v>
      </c>
      <c r="AY13" s="46" t="s">
        <v>68</v>
      </c>
      <c r="AZ13" s="4">
        <v>6</v>
      </c>
      <c r="BA13" s="4">
        <v>22</v>
      </c>
      <c r="BB13" s="4">
        <v>6</v>
      </c>
      <c r="BC13" s="4">
        <v>792</v>
      </c>
      <c r="BD13" s="4">
        <v>1103</v>
      </c>
      <c r="BE13" s="4" t="s">
        <v>240</v>
      </c>
      <c r="BF13" s="4" t="s">
        <v>67</v>
      </c>
      <c r="BG13" s="4"/>
      <c r="BH13" s="2"/>
      <c r="BI13" s="2"/>
    </row>
    <row r="14" spans="1:61" s="39" customFormat="1" ht="30">
      <c r="A14" s="3" t="s">
        <v>269</v>
      </c>
      <c r="B14" s="56" t="s">
        <v>270</v>
      </c>
      <c r="C14" s="3" t="s">
        <v>172</v>
      </c>
      <c r="D14" s="8" t="s">
        <v>271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 t="s">
        <v>272</v>
      </c>
      <c r="R14" s="2"/>
      <c r="S14" s="11" t="s">
        <v>273</v>
      </c>
      <c r="T14" s="2"/>
      <c r="U14" s="2"/>
      <c r="V14" s="2"/>
      <c r="W14" s="11" t="s">
        <v>274</v>
      </c>
      <c r="X14" s="2"/>
      <c r="Y14" s="2"/>
      <c r="Z14" s="2"/>
      <c r="AA14" s="2"/>
      <c r="AB14" s="2"/>
      <c r="AC14" s="2"/>
      <c r="AD14" s="2"/>
      <c r="AE14" s="2"/>
      <c r="AF14" s="11" t="s">
        <v>275</v>
      </c>
      <c r="AG14" s="2"/>
      <c r="AH14" s="2"/>
      <c r="AI14" s="2"/>
      <c r="AJ14" s="11" t="s">
        <v>276</v>
      </c>
      <c r="AK14" s="4" t="s">
        <v>277</v>
      </c>
      <c r="AL14" s="4" t="s">
        <v>278</v>
      </c>
      <c r="AM14" s="55">
        <v>40.369999999999997</v>
      </c>
      <c r="AN14" s="55">
        <f t="shared" si="0"/>
        <v>90.923423423423415</v>
      </c>
      <c r="AO14" s="4">
        <v>4.62</v>
      </c>
      <c r="AP14" s="4">
        <v>4.62</v>
      </c>
      <c r="AQ14" s="4">
        <v>6.62</v>
      </c>
      <c r="AR14" s="4">
        <v>0.08</v>
      </c>
      <c r="AS14" s="4">
        <v>1.67</v>
      </c>
      <c r="AT14" s="4">
        <v>14.74</v>
      </c>
      <c r="AU14" s="4">
        <v>9.99</v>
      </c>
      <c r="AV14" s="4">
        <v>7.35</v>
      </c>
      <c r="AW14" s="4">
        <v>0.63</v>
      </c>
      <c r="AX14" s="4">
        <v>10.02</v>
      </c>
      <c r="AY14" s="46" t="s">
        <v>68</v>
      </c>
      <c r="AZ14" s="4">
        <v>6</v>
      </c>
      <c r="BA14" s="4">
        <v>12</v>
      </c>
      <c r="BB14" s="4">
        <v>6</v>
      </c>
      <c r="BC14" s="4">
        <v>432</v>
      </c>
      <c r="BD14" s="4">
        <v>771</v>
      </c>
      <c r="BE14" s="4" t="s">
        <v>65</v>
      </c>
      <c r="BF14" s="4" t="s">
        <v>67</v>
      </c>
      <c r="BG14" s="4"/>
      <c r="BH14" s="2"/>
      <c r="BI14" s="2"/>
    </row>
    <row r="15" spans="1:61" s="39" customFormat="1" ht="30">
      <c r="A15" s="3" t="s">
        <v>279</v>
      </c>
      <c r="B15" s="56" t="s">
        <v>280</v>
      </c>
      <c r="C15" s="3" t="s">
        <v>172</v>
      </c>
      <c r="D15" s="8" t="s">
        <v>281</v>
      </c>
      <c r="E15" s="11" t="s">
        <v>282</v>
      </c>
      <c r="F15" s="2">
        <v>98037011</v>
      </c>
      <c r="G15" s="11" t="s">
        <v>283</v>
      </c>
      <c r="H15" s="2">
        <v>8980370110</v>
      </c>
      <c r="I15" s="11" t="s">
        <v>283</v>
      </c>
      <c r="J15" s="2">
        <v>8981628970</v>
      </c>
      <c r="K15" s="2"/>
      <c r="L15" s="2"/>
      <c r="M15" s="2"/>
      <c r="N15" s="2"/>
      <c r="O15" s="2"/>
      <c r="P15" s="2"/>
      <c r="Q15" s="2"/>
      <c r="R15" s="2"/>
      <c r="S15" s="2">
        <v>86937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v>3937</v>
      </c>
      <c r="AG15" s="2"/>
      <c r="AH15" s="2"/>
      <c r="AI15" s="2"/>
      <c r="AJ15" s="2">
        <v>33937</v>
      </c>
      <c r="AK15" s="4" t="s">
        <v>284</v>
      </c>
      <c r="AL15" s="4" t="s">
        <v>285</v>
      </c>
      <c r="AM15" s="55">
        <v>49.43</v>
      </c>
      <c r="AN15" s="55">
        <f t="shared" si="0"/>
        <v>111.32882882882883</v>
      </c>
      <c r="AO15" s="4">
        <v>4.62</v>
      </c>
      <c r="AP15" s="4">
        <v>4.62</v>
      </c>
      <c r="AQ15" s="4">
        <v>6</v>
      </c>
      <c r="AR15" s="4">
        <v>7.0000000000000007E-2</v>
      </c>
      <c r="AS15" s="4">
        <v>0.43</v>
      </c>
      <c r="AT15" s="4">
        <v>14.74</v>
      </c>
      <c r="AU15" s="4">
        <v>9.99</v>
      </c>
      <c r="AV15" s="4">
        <v>6.6</v>
      </c>
      <c r="AW15" s="4">
        <v>0.56000000000000005</v>
      </c>
      <c r="AX15" s="4">
        <v>2.58</v>
      </c>
      <c r="AY15" s="46" t="s">
        <v>224</v>
      </c>
      <c r="AZ15" s="4">
        <v>6</v>
      </c>
      <c r="BA15" s="4">
        <v>12</v>
      </c>
      <c r="BB15" s="4">
        <v>6</v>
      </c>
      <c r="BC15" s="4">
        <v>432</v>
      </c>
      <c r="BD15" s="4">
        <v>236</v>
      </c>
      <c r="BE15" s="4" t="s">
        <v>286</v>
      </c>
      <c r="BF15" s="4" t="s">
        <v>67</v>
      </c>
      <c r="BG15" s="4"/>
      <c r="BH15" s="2"/>
      <c r="BI15" s="2"/>
    </row>
    <row r="16" spans="1:61" s="39" customFormat="1">
      <c r="A16" s="59" t="s">
        <v>287</v>
      </c>
      <c r="B16" s="56" t="s">
        <v>280</v>
      </c>
      <c r="C16" s="3" t="s">
        <v>172</v>
      </c>
      <c r="D16" s="53" t="s">
        <v>288</v>
      </c>
      <c r="E16" s="11" t="s">
        <v>289</v>
      </c>
      <c r="F16" s="11">
        <v>2855755</v>
      </c>
      <c r="G16" s="11" t="s">
        <v>258</v>
      </c>
      <c r="H16" s="11">
        <v>504107584</v>
      </c>
      <c r="I16" s="11" t="s">
        <v>66</v>
      </c>
      <c r="J16" s="11">
        <v>2855756</v>
      </c>
      <c r="K16" s="11" t="s">
        <v>66</v>
      </c>
      <c r="L16" s="11">
        <v>5181823</v>
      </c>
      <c r="M16" s="11" t="s">
        <v>290</v>
      </c>
      <c r="N16" s="11">
        <v>37180</v>
      </c>
      <c r="O16" s="11" t="s">
        <v>66</v>
      </c>
      <c r="P16" s="11">
        <v>2854796</v>
      </c>
      <c r="Q16" s="11" t="s">
        <v>291</v>
      </c>
      <c r="R16" s="11"/>
      <c r="S16" s="11">
        <v>86808</v>
      </c>
      <c r="T16" s="11"/>
      <c r="U16" s="11"/>
      <c r="V16" s="11"/>
      <c r="W16" s="11" t="s">
        <v>292</v>
      </c>
      <c r="X16" s="11"/>
      <c r="Y16" s="11"/>
      <c r="Z16" s="11"/>
      <c r="AA16" s="11"/>
      <c r="AB16" s="11"/>
      <c r="AC16" s="11" t="s">
        <v>293</v>
      </c>
      <c r="AD16" s="11"/>
      <c r="AE16" s="11"/>
      <c r="AF16" s="11">
        <v>3808</v>
      </c>
      <c r="AG16" s="11"/>
      <c r="AH16" s="11"/>
      <c r="AI16" s="11"/>
      <c r="AJ16" s="11">
        <v>33808</v>
      </c>
      <c r="AK16" s="46" t="s">
        <v>294</v>
      </c>
      <c r="AL16" s="46" t="s">
        <v>295</v>
      </c>
      <c r="AM16" s="12">
        <v>35.75</v>
      </c>
      <c r="AN16" s="55">
        <f t="shared" si="0"/>
        <v>80.518018018018012</v>
      </c>
      <c r="AO16" s="46">
        <v>3.81</v>
      </c>
      <c r="AP16" s="46">
        <v>3.81</v>
      </c>
      <c r="AQ16" s="46">
        <v>8</v>
      </c>
      <c r="AR16" s="46">
        <v>7.0000000000000007E-2</v>
      </c>
      <c r="AS16" s="46">
        <v>1.1259999999999999</v>
      </c>
      <c r="AT16" s="46">
        <v>11.92</v>
      </c>
      <c r="AU16" s="46">
        <v>8.36</v>
      </c>
      <c r="AV16" s="46">
        <v>8.6</v>
      </c>
      <c r="AW16" s="46">
        <v>0.5</v>
      </c>
      <c r="AX16" s="46">
        <v>6.76</v>
      </c>
      <c r="AY16" s="46" t="s">
        <v>68</v>
      </c>
      <c r="AZ16" s="46">
        <v>6</v>
      </c>
      <c r="BA16" s="46">
        <v>17</v>
      </c>
      <c r="BB16" s="46">
        <v>5</v>
      </c>
      <c r="BC16" s="46">
        <v>510</v>
      </c>
      <c r="BD16" s="46">
        <v>624</v>
      </c>
      <c r="BE16" s="46" t="s">
        <v>65</v>
      </c>
      <c r="BF16" s="4" t="s">
        <v>67</v>
      </c>
      <c r="BG16" s="46"/>
      <c r="BH16" s="11"/>
      <c r="BI16" s="11"/>
    </row>
    <row r="17" spans="1:61" s="39" customFormat="1">
      <c r="A17" s="59" t="s">
        <v>296</v>
      </c>
      <c r="B17" s="56" t="s">
        <v>280</v>
      </c>
      <c r="C17" s="3" t="s">
        <v>172</v>
      </c>
      <c r="D17" s="53" t="s">
        <v>297</v>
      </c>
      <c r="E17" s="11" t="s">
        <v>213</v>
      </c>
      <c r="F17" s="11">
        <v>32925915</v>
      </c>
      <c r="G17" s="11" t="s">
        <v>290</v>
      </c>
      <c r="H17" s="11">
        <v>38461</v>
      </c>
      <c r="I17" s="11"/>
      <c r="J17" s="11"/>
      <c r="K17" s="11"/>
      <c r="L17" s="11"/>
      <c r="M17" s="11"/>
      <c r="N17" s="11"/>
      <c r="O17" s="11"/>
      <c r="P17" s="11"/>
      <c r="Q17" s="11" t="s">
        <v>298</v>
      </c>
      <c r="R17" s="11"/>
      <c r="S17" s="11">
        <v>86670</v>
      </c>
      <c r="T17" s="11"/>
      <c r="U17" s="11"/>
      <c r="V17" s="11"/>
      <c r="W17" s="11" t="s">
        <v>299</v>
      </c>
      <c r="X17" s="11"/>
      <c r="Y17" s="11"/>
      <c r="Z17" s="11"/>
      <c r="AA17" s="11"/>
      <c r="AB17" s="11"/>
      <c r="AC17" s="11"/>
      <c r="AD17" s="11"/>
      <c r="AE17" s="11"/>
      <c r="AF17" s="11">
        <v>3670</v>
      </c>
      <c r="AG17" s="11"/>
      <c r="AH17" s="11"/>
      <c r="AI17" s="11"/>
      <c r="AJ17" s="11">
        <v>33670</v>
      </c>
      <c r="AK17" s="46" t="s">
        <v>300</v>
      </c>
      <c r="AL17" s="46" t="s">
        <v>301</v>
      </c>
      <c r="AM17" s="12">
        <v>35.83</v>
      </c>
      <c r="AN17" s="55">
        <f t="shared" si="0"/>
        <v>80.698198198198199</v>
      </c>
      <c r="AO17" s="46">
        <v>3.81</v>
      </c>
      <c r="AP17" s="46">
        <v>3.81</v>
      </c>
      <c r="AQ17" s="46">
        <v>7</v>
      </c>
      <c r="AR17" s="46">
        <v>0.06</v>
      </c>
      <c r="AS17" s="46">
        <v>0.92500000000000004</v>
      </c>
      <c r="AT17" s="46">
        <v>11.99</v>
      </c>
      <c r="AU17" s="46">
        <v>8.24</v>
      </c>
      <c r="AV17" s="46">
        <v>7.98</v>
      </c>
      <c r="AW17" s="46">
        <v>0.46</v>
      </c>
      <c r="AX17" s="46">
        <v>5.55</v>
      </c>
      <c r="AY17" s="46" t="s">
        <v>224</v>
      </c>
      <c r="AZ17" s="46">
        <v>6</v>
      </c>
      <c r="BA17" s="46">
        <v>17</v>
      </c>
      <c r="BB17" s="46">
        <v>5</v>
      </c>
      <c r="BC17" s="46">
        <v>510</v>
      </c>
      <c r="BD17" s="46">
        <v>522</v>
      </c>
      <c r="BE17" s="46" t="s">
        <v>65</v>
      </c>
      <c r="BF17" s="4" t="s">
        <v>67</v>
      </c>
      <c r="BG17" s="46"/>
      <c r="BH17" s="11"/>
      <c r="BI17" s="11"/>
    </row>
    <row r="18" spans="1:61" ht="30">
      <c r="A18" s="58" t="s">
        <v>302</v>
      </c>
      <c r="B18" s="56" t="s">
        <v>303</v>
      </c>
      <c r="C18" s="3" t="s">
        <v>304</v>
      </c>
      <c r="D18" s="8" t="s">
        <v>305</v>
      </c>
      <c r="E18" s="11" t="s">
        <v>306</v>
      </c>
      <c r="F18" s="11" t="s">
        <v>307</v>
      </c>
      <c r="G18" s="11" t="s">
        <v>308</v>
      </c>
      <c r="H18" s="2">
        <v>3809364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11" t="s">
        <v>309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" t="s">
        <v>310</v>
      </c>
      <c r="AL18" s="4" t="s">
        <v>311</v>
      </c>
      <c r="AM18" s="55">
        <v>41.95</v>
      </c>
      <c r="AN18" s="55">
        <f t="shared" si="0"/>
        <v>94.481981981981988</v>
      </c>
      <c r="AO18" s="4">
        <v>4.92</v>
      </c>
      <c r="AP18" s="4">
        <v>4.92</v>
      </c>
      <c r="AQ18" s="4">
        <v>8.27</v>
      </c>
      <c r="AR18" s="4">
        <v>0.12</v>
      </c>
      <c r="AS18" s="4">
        <v>0.74</v>
      </c>
      <c r="AT18" s="4">
        <v>15.2</v>
      </c>
      <c r="AU18" s="4">
        <v>11.34</v>
      </c>
      <c r="AV18" s="4">
        <v>9.5299999999999994</v>
      </c>
      <c r="AW18" s="4">
        <v>0.95</v>
      </c>
      <c r="AX18" s="4">
        <v>4.4400000000000004</v>
      </c>
      <c r="AY18" s="46" t="s">
        <v>224</v>
      </c>
      <c r="AZ18" s="4">
        <v>6</v>
      </c>
      <c r="BA18" s="4">
        <v>10</v>
      </c>
      <c r="BB18" s="4">
        <v>5</v>
      </c>
      <c r="BC18" s="4">
        <v>300</v>
      </c>
      <c r="BD18" s="4">
        <v>272</v>
      </c>
      <c r="BE18" s="4" t="s">
        <v>312</v>
      </c>
      <c r="BF18" s="4" t="s">
        <v>67</v>
      </c>
      <c r="BG18" s="4"/>
      <c r="BH18" s="2"/>
      <c r="BI18" s="2"/>
    </row>
    <row r="19" spans="1:61">
      <c r="A19" s="59" t="s">
        <v>313</v>
      </c>
      <c r="B19" s="59" t="s">
        <v>314</v>
      </c>
      <c r="C19" s="60" t="s">
        <v>304</v>
      </c>
      <c r="D19" s="53" t="s">
        <v>315</v>
      </c>
      <c r="E19" s="11" t="s">
        <v>282</v>
      </c>
      <c r="F19" s="11">
        <v>833451</v>
      </c>
      <c r="Q19" s="11" t="s">
        <v>316</v>
      </c>
      <c r="AK19" s="46" t="s">
        <v>317</v>
      </c>
      <c r="AL19" s="46" t="s">
        <v>318</v>
      </c>
      <c r="AM19" s="12">
        <v>29.67</v>
      </c>
      <c r="AN19" s="55">
        <f t="shared" si="0"/>
        <v>66.824324324324323</v>
      </c>
      <c r="AO19" s="46">
        <v>4.43</v>
      </c>
      <c r="AP19" s="46">
        <v>4.43</v>
      </c>
      <c r="AQ19" s="46">
        <v>10.37</v>
      </c>
      <c r="AR19" s="46">
        <v>0.12</v>
      </c>
      <c r="AS19" s="46">
        <v>1.3660000000000001</v>
      </c>
      <c r="AT19" s="46">
        <v>14.59</v>
      </c>
      <c r="AU19" s="46">
        <v>9.7100000000000009</v>
      </c>
      <c r="AV19" s="46">
        <v>11.74</v>
      </c>
      <c r="AW19" s="46">
        <v>0.96</v>
      </c>
      <c r="AX19" s="46">
        <v>8.1999999999999993</v>
      </c>
      <c r="AY19" s="46" t="s">
        <v>224</v>
      </c>
      <c r="AZ19" s="46">
        <v>6</v>
      </c>
      <c r="BA19" s="46">
        <v>12</v>
      </c>
      <c r="BB19" s="46">
        <v>3</v>
      </c>
      <c r="BC19" s="46">
        <v>216</v>
      </c>
      <c r="BD19" s="46">
        <v>345</v>
      </c>
      <c r="BE19" s="46" t="s">
        <v>65</v>
      </c>
      <c r="BF19" s="4" t="s">
        <v>67</v>
      </c>
      <c r="BG19" s="46"/>
    </row>
    <row r="20" spans="1:61" ht="45">
      <c r="A20" s="59" t="s">
        <v>319</v>
      </c>
      <c r="B20" s="61" t="s">
        <v>320</v>
      </c>
      <c r="C20" s="62" t="s">
        <v>304</v>
      </c>
      <c r="D20" s="63" t="s">
        <v>321</v>
      </c>
      <c r="AK20" s="46" t="s">
        <v>322</v>
      </c>
      <c r="AL20" s="46" t="s">
        <v>323</v>
      </c>
      <c r="AM20" s="55">
        <v>71.72</v>
      </c>
      <c r="AN20" s="55">
        <f t="shared" si="0"/>
        <v>161.53153153153153</v>
      </c>
      <c r="AO20" s="46" t="s">
        <v>324</v>
      </c>
      <c r="AP20" s="46" t="s">
        <v>324</v>
      </c>
      <c r="AQ20" s="46" t="s">
        <v>324</v>
      </c>
      <c r="AR20" s="46" t="s">
        <v>324</v>
      </c>
      <c r="AS20" s="46">
        <v>3.85</v>
      </c>
      <c r="AT20" s="46">
        <v>15.09</v>
      </c>
      <c r="AU20" s="46">
        <v>10.09</v>
      </c>
      <c r="AV20" s="46">
        <v>14.81</v>
      </c>
      <c r="AW20" s="46">
        <v>1.3</v>
      </c>
      <c r="AX20" s="46">
        <v>23.1</v>
      </c>
      <c r="AY20" s="46" t="s">
        <v>68</v>
      </c>
      <c r="AZ20" s="46">
        <v>6</v>
      </c>
      <c r="BA20" s="46">
        <v>12</v>
      </c>
      <c r="BB20" s="46">
        <v>3</v>
      </c>
      <c r="BC20" s="46">
        <v>216</v>
      </c>
      <c r="BD20" s="46">
        <v>882</v>
      </c>
      <c r="BE20" s="46" t="s">
        <v>65</v>
      </c>
      <c r="BF20" s="4" t="s">
        <v>67</v>
      </c>
      <c r="BG20" s="46"/>
    </row>
    <row r="21" spans="1:61">
      <c r="A21" s="3" t="s">
        <v>325</v>
      </c>
      <c r="B21" s="56" t="s">
        <v>326</v>
      </c>
      <c r="C21" s="56" t="s">
        <v>327</v>
      </c>
      <c r="D21" s="8" t="s">
        <v>328</v>
      </c>
      <c r="E21" s="11" t="s">
        <v>13</v>
      </c>
      <c r="F21" s="11" t="s">
        <v>329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1" t="s">
        <v>329</v>
      </c>
      <c r="AK21" s="4" t="s">
        <v>330</v>
      </c>
      <c r="AL21" s="4" t="s">
        <v>331</v>
      </c>
      <c r="AM21" s="55">
        <v>35.67</v>
      </c>
      <c r="AN21" s="55">
        <f t="shared" si="0"/>
        <v>80.337837837837839</v>
      </c>
      <c r="AO21" s="4">
        <v>3.81</v>
      </c>
      <c r="AP21" s="4">
        <v>3.81</v>
      </c>
      <c r="AQ21" s="4">
        <v>8</v>
      </c>
      <c r="AR21" s="4">
        <v>7.0000000000000007E-2</v>
      </c>
      <c r="AS21" s="4">
        <v>1.4730000000000001</v>
      </c>
      <c r="AT21" s="4">
        <v>11.92</v>
      </c>
      <c r="AU21" s="4">
        <v>8.36</v>
      </c>
      <c r="AV21" s="4">
        <v>8.6</v>
      </c>
      <c r="AW21" s="4">
        <v>0.5</v>
      </c>
      <c r="AX21" s="4">
        <v>8.84</v>
      </c>
      <c r="AY21" s="46" t="s">
        <v>224</v>
      </c>
      <c r="AZ21" s="4">
        <v>6</v>
      </c>
      <c r="BA21" s="4">
        <v>17</v>
      </c>
      <c r="BB21" s="4">
        <v>5</v>
      </c>
      <c r="BC21" s="4">
        <v>510</v>
      </c>
      <c r="BD21" s="4">
        <v>801</v>
      </c>
      <c r="BE21" s="4" t="s">
        <v>65</v>
      </c>
      <c r="BF21" s="4" t="s">
        <v>67</v>
      </c>
      <c r="BG21" s="4"/>
      <c r="BH21" s="2"/>
      <c r="BI21" s="2"/>
    </row>
    <row r="27" spans="1:61" s="8" customFormat="1">
      <c r="A27" s="2"/>
      <c r="B27" s="3"/>
      <c r="C27" s="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8" customFormat="1">
      <c r="A28" s="2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/>
      <c r="AN28" s="13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2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3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2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  <c r="AN30" s="13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2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/>
      <c r="AN31" s="1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2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  <c r="AN32" s="13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2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3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2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13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2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13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2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3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2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2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3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2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/>
      <c r="AN39" s="13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2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3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2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3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2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  <c r="AN42" s="1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2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/>
      <c r="AN43" s="1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2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  <c r="AN44" s="13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2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2"/>
      <c r="AN45" s="13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2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3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2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3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2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2"/>
      <c r="AN48" s="13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2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2"/>
      <c r="AN49" s="13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2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2"/>
      <c r="AN50" s="13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2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2"/>
      <c r="AN51" s="13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2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3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2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2"/>
      <c r="AN53" s="13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2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2"/>
      <c r="AN54" s="13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2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2"/>
      <c r="AN55" s="13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2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2"/>
      <c r="AN56" s="13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2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2"/>
      <c r="AN57" s="13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2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2"/>
      <c r="AN58" s="13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2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2"/>
      <c r="AN59" s="13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2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2"/>
      <c r="AN60" s="13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2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2"/>
      <c r="AN61" s="13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2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2"/>
      <c r="AN62" s="13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2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2"/>
      <c r="AN63" s="13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2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2"/>
      <c r="AN64" s="13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2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  <c r="AN65" s="13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2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  <c r="AN66" s="13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2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2"/>
      <c r="AN67" s="13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2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2"/>
      <c r="AN68" s="13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2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2"/>
      <c r="AN69" s="13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2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2"/>
      <c r="AN70" s="13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2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2"/>
      <c r="AN71" s="13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2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2"/>
      <c r="AN72" s="13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2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2"/>
      <c r="AN73" s="13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2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2"/>
      <c r="AN74" s="13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2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2"/>
      <c r="AN75" s="13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2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2"/>
      <c r="AN76" s="13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2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2"/>
      <c r="AN77" s="13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2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2"/>
      <c r="AN78" s="13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2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2"/>
      <c r="AN79" s="13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2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2"/>
      <c r="AN80" s="13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2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2"/>
      <c r="AN81" s="13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2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2"/>
      <c r="AN82" s="13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2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2"/>
      <c r="AN83" s="13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2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2"/>
      <c r="AN84" s="13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2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2"/>
      <c r="AN85" s="13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2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2"/>
      <c r="AN86" s="13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2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2"/>
      <c r="AN87" s="13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2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2"/>
      <c r="AN88" s="13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2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2"/>
      <c r="AN89" s="13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2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2"/>
      <c r="AN90" s="13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2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2"/>
      <c r="AN91" s="13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2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2"/>
      <c r="AN92" s="13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2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2"/>
      <c r="AN93" s="13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2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2"/>
      <c r="AN94" s="13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2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2"/>
      <c r="AN95" s="13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2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2"/>
      <c r="AN96" s="13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2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2"/>
      <c r="AN97" s="13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2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2"/>
      <c r="AN98" s="13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2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2"/>
      <c r="AN99" s="13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2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2"/>
      <c r="AN100" s="13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2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2"/>
      <c r="AN101" s="13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2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2"/>
      <c r="AN102" s="13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2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2"/>
      <c r="AN103" s="13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2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2"/>
      <c r="AN104" s="13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2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2"/>
      <c r="AN105" s="13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2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2"/>
      <c r="AN106" s="13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2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2"/>
      <c r="AN107" s="13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2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2"/>
      <c r="AN108" s="13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2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2"/>
      <c r="AN109" s="13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2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2"/>
      <c r="AN110" s="13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2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2"/>
      <c r="AN111" s="13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2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2"/>
      <c r="AN112" s="13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2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2"/>
      <c r="AN113" s="13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2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2"/>
      <c r="AN114" s="13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2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2"/>
      <c r="AN115" s="13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2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2"/>
      <c r="AN116" s="13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2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2"/>
      <c r="AN117" s="13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2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2"/>
      <c r="AN118" s="13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2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2"/>
      <c r="AN119" s="13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2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2"/>
      <c r="AN120" s="13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2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2"/>
      <c r="AN121" s="13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2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2"/>
      <c r="AN122" s="13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2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2"/>
      <c r="AN123" s="13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2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2"/>
      <c r="AN124" s="13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2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2"/>
      <c r="AN125" s="13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8" customFormat="1">
      <c r="A126" s="2"/>
      <c r="B126" s="3"/>
      <c r="C126" s="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2"/>
      <c r="AN126" s="13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8" customFormat="1">
      <c r="A127" s="2"/>
      <c r="B127" s="3"/>
      <c r="C127" s="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2"/>
      <c r="AN127" s="13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8" customFormat="1">
      <c r="A128" s="2"/>
      <c r="B128" s="3"/>
      <c r="C128" s="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2"/>
      <c r="AN128" s="13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8" customFormat="1">
      <c r="A129" s="2"/>
      <c r="B129" s="3"/>
      <c r="C129" s="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2"/>
      <c r="AN129" s="13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8" customFormat="1">
      <c r="A130" s="2"/>
      <c r="B130" s="3"/>
      <c r="C130" s="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2"/>
      <c r="AN130" s="13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8" customFormat="1">
      <c r="A131" s="2"/>
      <c r="B131" s="3"/>
      <c r="C131" s="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2"/>
      <c r="AN131" s="13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8" customFormat="1">
      <c r="A132" s="2"/>
      <c r="B132" s="3"/>
      <c r="C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2"/>
      <c r="AN132" s="13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8" customFormat="1">
      <c r="A133" s="2"/>
      <c r="B133" s="3"/>
      <c r="C133" s="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2"/>
      <c r="AN133" s="13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8" customFormat="1">
      <c r="A134" s="2"/>
      <c r="B134" s="3"/>
      <c r="C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2"/>
      <c r="AN134" s="13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8" customFormat="1">
      <c r="A135" s="2"/>
      <c r="B135" s="3"/>
      <c r="C135" s="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2"/>
      <c r="AN135" s="13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8" customFormat="1">
      <c r="A136" s="2"/>
      <c r="B136" s="3"/>
      <c r="C136" s="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2"/>
      <c r="AN136" s="13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8" customFormat="1">
      <c r="A137" s="2"/>
      <c r="B137" s="3"/>
      <c r="C137" s="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2"/>
      <c r="AN137" s="13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8" customFormat="1">
      <c r="A138" s="2"/>
      <c r="B138" s="3"/>
      <c r="C138" s="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2"/>
      <c r="AN138" s="13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8" customFormat="1">
      <c r="A139" s="2"/>
      <c r="B139" s="3"/>
      <c r="C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2"/>
      <c r="AN139" s="13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8" customFormat="1">
      <c r="A140" s="2"/>
      <c r="B140" s="3"/>
      <c r="C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2"/>
      <c r="AN140" s="13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8" customFormat="1">
      <c r="A141" s="2"/>
      <c r="B141" s="3"/>
      <c r="C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2"/>
      <c r="AN141" s="13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8" customFormat="1">
      <c r="A142" s="2"/>
      <c r="B142" s="3"/>
      <c r="C142" s="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2"/>
      <c r="AN142" s="13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8" customFormat="1">
      <c r="A143" s="2"/>
      <c r="B143" s="3"/>
      <c r="C143" s="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2"/>
      <c r="AN143" s="13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8" customFormat="1">
      <c r="A144" s="2"/>
      <c r="B144" s="3"/>
      <c r="C144" s="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2"/>
      <c r="AN144" s="13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8" customFormat="1">
      <c r="A145" s="2"/>
      <c r="B145" s="3"/>
      <c r="C145" s="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2"/>
      <c r="AN145" s="13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8" customFormat="1">
      <c r="A146" s="2"/>
      <c r="B146" s="3"/>
      <c r="C146" s="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2"/>
      <c r="AN146" s="13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8" customFormat="1">
      <c r="A147" s="2"/>
      <c r="B147" s="3"/>
      <c r="C147" s="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2"/>
      <c r="AN147" s="13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8" customFormat="1">
      <c r="A148" s="2"/>
      <c r="B148" s="3"/>
      <c r="C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2"/>
      <c r="AN148" s="13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8" customFormat="1">
      <c r="A149" s="2"/>
      <c r="B149" s="3"/>
      <c r="C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2"/>
      <c r="AN149" s="13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8" customFormat="1">
      <c r="A150" s="2"/>
      <c r="B150" s="3"/>
      <c r="C150" s="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2"/>
      <c r="AN150" s="13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8" customFormat="1">
      <c r="A151" s="2"/>
      <c r="B151" s="3"/>
      <c r="C151" s="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2"/>
      <c r="AN151" s="13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</sheetData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2:BC170"/>
  <sheetViews>
    <sheetView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C6" sqref="C6"/>
    </sheetView>
  </sheetViews>
  <sheetFormatPr defaultRowHeight="15"/>
  <cols>
    <col min="1" max="1" width="12.28515625" style="80" bestFit="1" customWidth="1"/>
    <col min="2" max="2" width="26.140625" style="81" customWidth="1"/>
    <col min="3" max="3" width="40.5703125" style="82" customWidth="1"/>
    <col min="4" max="4" width="28.5703125" style="86" customWidth="1"/>
    <col min="5" max="5" width="18.5703125" style="86" customWidth="1"/>
    <col min="6" max="6" width="16.140625" style="86" customWidth="1"/>
    <col min="7" max="7" width="15.140625" style="86" customWidth="1"/>
    <col min="8" max="8" width="18.28515625" style="86" customWidth="1"/>
    <col min="9" max="11" width="13.85546875" style="86" customWidth="1"/>
    <col min="12" max="12" width="14.42578125" style="86" customWidth="1"/>
    <col min="13" max="13" width="11.42578125" style="86" customWidth="1"/>
    <col min="14" max="17" width="10.7109375" style="86" customWidth="1"/>
    <col min="18" max="18" width="16" style="86" customWidth="1"/>
    <col min="19" max="19" width="11.85546875" style="86" customWidth="1"/>
    <col min="20" max="21" width="10.7109375" style="86" customWidth="1"/>
    <col min="22" max="22" width="16.7109375" style="86" customWidth="1"/>
    <col min="23" max="23" width="15.5703125" style="86" customWidth="1"/>
    <col min="24" max="27" width="10.7109375" style="86" customWidth="1"/>
    <col min="28" max="28" width="14.140625" style="86" customWidth="1"/>
    <col min="29" max="29" width="10.7109375" style="86" customWidth="1"/>
    <col min="30" max="30" width="19.42578125" style="88" customWidth="1"/>
    <col min="31" max="31" width="17.85546875" style="89" customWidth="1"/>
    <col min="32" max="32" width="16.85546875" style="89" customWidth="1"/>
    <col min="33" max="33" width="9.140625" style="90" customWidth="1"/>
    <col min="34" max="34" width="9.140625" style="91" customWidth="1"/>
    <col min="35" max="44" width="9.140625" style="92" customWidth="1"/>
    <col min="45" max="45" width="17.85546875" style="92" customWidth="1"/>
    <col min="46" max="46" width="10.42578125" style="88" bestFit="1" customWidth="1"/>
    <col min="47" max="47" width="12" style="88" bestFit="1" customWidth="1"/>
    <col min="48" max="48" width="14.42578125" style="88" bestFit="1" customWidth="1"/>
    <col min="49" max="49" width="15" style="88" bestFit="1" customWidth="1"/>
    <col min="50" max="50" width="13.28515625" style="93" bestFit="1" customWidth="1"/>
    <col min="51" max="51" width="16.28515625" style="88" bestFit="1" customWidth="1"/>
    <col min="52" max="52" width="22.28515625" style="88" customWidth="1"/>
    <col min="53" max="53" width="12.140625" style="86" bestFit="1" customWidth="1"/>
    <col min="54" max="54" width="15.42578125" style="86" customWidth="1"/>
    <col min="55" max="55" width="12.42578125" style="86" customWidth="1"/>
    <col min="56" max="16384" width="9.140625" style="1"/>
  </cols>
  <sheetData>
    <row r="2" spans="1:55" ht="23.25">
      <c r="D2" s="83" t="s">
        <v>378</v>
      </c>
      <c r="E2" s="84"/>
      <c r="F2" s="85"/>
      <c r="H2" s="87"/>
      <c r="I2" s="84"/>
      <c r="J2" s="84"/>
      <c r="K2" s="84"/>
    </row>
    <row r="4" spans="1:55" ht="15.75">
      <c r="A4" s="94"/>
      <c r="B4" s="95" t="s">
        <v>17</v>
      </c>
      <c r="F4" s="96" t="s">
        <v>15</v>
      </c>
      <c r="G4" s="97"/>
      <c r="H4" s="97"/>
      <c r="P4" s="98" t="s">
        <v>16</v>
      </c>
      <c r="Q4" s="98"/>
      <c r="R4" s="97"/>
      <c r="S4" s="97"/>
      <c r="T4" s="99"/>
      <c r="U4" s="99"/>
      <c r="V4" s="99"/>
      <c r="W4" s="99"/>
      <c r="X4" s="99"/>
      <c r="Y4" s="99"/>
      <c r="Z4" s="99"/>
      <c r="AE4" s="100" t="s">
        <v>19</v>
      </c>
      <c r="AF4" s="101"/>
      <c r="AG4" s="102"/>
      <c r="AI4" s="103"/>
      <c r="AJ4" s="104" t="s">
        <v>22</v>
      </c>
      <c r="AK4" s="105"/>
      <c r="AL4" s="103"/>
      <c r="AM4" s="103"/>
      <c r="AN4" s="103"/>
      <c r="AO4" s="106" t="s">
        <v>28</v>
      </c>
      <c r="AP4" s="105"/>
      <c r="AQ4" s="103"/>
      <c r="AR4" s="103"/>
      <c r="AS4" s="103"/>
      <c r="AT4" s="107"/>
      <c r="AU4" s="107"/>
      <c r="AV4" s="107" t="s">
        <v>34</v>
      </c>
      <c r="AW4" s="107"/>
      <c r="AX4" s="108"/>
      <c r="AY4" s="107"/>
      <c r="AZ4" s="107"/>
    </row>
    <row r="5" spans="1:55">
      <c r="A5" s="109" t="s">
        <v>0</v>
      </c>
      <c r="B5" s="110" t="s">
        <v>2</v>
      </c>
      <c r="C5" s="111" t="s">
        <v>1</v>
      </c>
      <c r="D5" s="112" t="s">
        <v>3</v>
      </c>
      <c r="E5" s="112" t="s">
        <v>7</v>
      </c>
      <c r="F5" s="112" t="s">
        <v>4</v>
      </c>
      <c r="G5" s="112" t="s">
        <v>6</v>
      </c>
      <c r="H5" s="112" t="s">
        <v>5</v>
      </c>
      <c r="I5" s="112" t="s">
        <v>176</v>
      </c>
      <c r="J5" s="112" t="s">
        <v>54</v>
      </c>
      <c r="K5" s="112" t="s">
        <v>177</v>
      </c>
      <c r="L5" s="113" t="s">
        <v>8</v>
      </c>
      <c r="M5" s="113" t="s">
        <v>47</v>
      </c>
      <c r="N5" s="113" t="s">
        <v>9</v>
      </c>
      <c r="O5" s="113" t="s">
        <v>36</v>
      </c>
      <c r="P5" s="113" t="s">
        <v>10</v>
      </c>
      <c r="Q5" s="113" t="s">
        <v>48</v>
      </c>
      <c r="R5" s="113" t="s">
        <v>11</v>
      </c>
      <c r="S5" s="113" t="s">
        <v>53</v>
      </c>
      <c r="T5" s="113" t="s">
        <v>12</v>
      </c>
      <c r="U5" s="113" t="s">
        <v>49</v>
      </c>
      <c r="V5" s="113" t="s">
        <v>14</v>
      </c>
      <c r="W5" s="113" t="s">
        <v>37</v>
      </c>
      <c r="X5" s="113" t="s">
        <v>50</v>
      </c>
      <c r="Y5" s="113" t="s">
        <v>51</v>
      </c>
      <c r="Z5" s="113" t="s">
        <v>46</v>
      </c>
      <c r="AA5" s="113" t="s">
        <v>38</v>
      </c>
      <c r="AB5" s="113" t="s">
        <v>39</v>
      </c>
      <c r="AC5" s="113" t="s">
        <v>40</v>
      </c>
      <c r="AD5" s="114" t="s">
        <v>13</v>
      </c>
      <c r="AE5" s="115" t="s">
        <v>18</v>
      </c>
      <c r="AF5" s="115" t="s">
        <v>55</v>
      </c>
      <c r="AG5" s="116" t="s">
        <v>20</v>
      </c>
      <c r="AH5" s="117" t="s">
        <v>21</v>
      </c>
      <c r="AI5" s="118" t="s">
        <v>23</v>
      </c>
      <c r="AJ5" s="118" t="s">
        <v>24</v>
      </c>
      <c r="AK5" s="118" t="s">
        <v>25</v>
      </c>
      <c r="AL5" s="118" t="s">
        <v>26</v>
      </c>
      <c r="AM5" s="118" t="s">
        <v>27</v>
      </c>
      <c r="AN5" s="119" t="s">
        <v>23</v>
      </c>
      <c r="AO5" s="119" t="s">
        <v>24</v>
      </c>
      <c r="AP5" s="119" t="s">
        <v>25</v>
      </c>
      <c r="AQ5" s="119" t="s">
        <v>26</v>
      </c>
      <c r="AR5" s="119" t="s">
        <v>27</v>
      </c>
      <c r="AS5" s="120" t="s">
        <v>45</v>
      </c>
      <c r="AT5" s="121" t="s">
        <v>29</v>
      </c>
      <c r="AU5" s="121" t="s">
        <v>30</v>
      </c>
      <c r="AV5" s="121" t="s">
        <v>31</v>
      </c>
      <c r="AW5" s="121" t="s">
        <v>32</v>
      </c>
      <c r="AX5" s="122" t="s">
        <v>33</v>
      </c>
      <c r="AY5" s="121" t="s">
        <v>35</v>
      </c>
      <c r="AZ5" s="121" t="s">
        <v>44</v>
      </c>
      <c r="BA5" s="121" t="s">
        <v>41</v>
      </c>
      <c r="BB5" s="121" t="s">
        <v>42</v>
      </c>
      <c r="BC5" s="121" t="s">
        <v>43</v>
      </c>
    </row>
    <row r="6" spans="1:55" s="131" customFormat="1">
      <c r="A6" s="81" t="s">
        <v>379</v>
      </c>
      <c r="B6" s="123" t="s">
        <v>380</v>
      </c>
      <c r="C6" s="124" t="s">
        <v>381</v>
      </c>
      <c r="D6" s="82" t="s">
        <v>382</v>
      </c>
      <c r="E6" s="124">
        <v>580048838</v>
      </c>
      <c r="F6" s="86" t="s">
        <v>383</v>
      </c>
      <c r="G6" s="80">
        <v>1559814</v>
      </c>
      <c r="H6" s="80"/>
      <c r="I6" s="80"/>
      <c r="J6" s="80"/>
      <c r="K6" s="80"/>
      <c r="L6" s="86" t="s">
        <v>384</v>
      </c>
      <c r="M6" s="80"/>
      <c r="N6" s="80">
        <v>83518</v>
      </c>
      <c r="O6" s="80"/>
      <c r="P6" s="80" t="s">
        <v>385</v>
      </c>
      <c r="Q6" s="80"/>
      <c r="R6" s="80"/>
      <c r="S6" s="80"/>
      <c r="T6" s="80"/>
      <c r="U6" s="80"/>
      <c r="V6" s="80"/>
      <c r="W6" s="80"/>
      <c r="X6" s="80"/>
      <c r="Y6" s="80"/>
      <c r="Z6" s="80" t="s">
        <v>386</v>
      </c>
      <c r="AA6" s="80"/>
      <c r="AB6" s="80"/>
      <c r="AC6" s="80"/>
      <c r="AD6" s="125">
        <v>49518</v>
      </c>
      <c r="AE6" s="126"/>
      <c r="AF6" s="126"/>
      <c r="AG6" s="91"/>
      <c r="AH6" s="127"/>
      <c r="AI6" s="128">
        <v>5.54</v>
      </c>
      <c r="AJ6" s="128">
        <v>5.54</v>
      </c>
      <c r="AK6" s="128">
        <v>11.28</v>
      </c>
      <c r="AL6" s="128">
        <v>0.2</v>
      </c>
      <c r="AM6" s="128">
        <v>0.5</v>
      </c>
      <c r="AN6" s="128">
        <v>5.54</v>
      </c>
      <c r="AO6" s="128">
        <v>5.54</v>
      </c>
      <c r="AP6" s="128">
        <v>11.28</v>
      </c>
      <c r="AQ6" s="128">
        <v>0.2</v>
      </c>
      <c r="AR6" s="128">
        <v>0.5</v>
      </c>
      <c r="AS6" s="92" t="s">
        <v>68</v>
      </c>
      <c r="AT6" s="129">
        <v>1</v>
      </c>
      <c r="AU6" s="129">
        <v>56</v>
      </c>
      <c r="AV6" s="129">
        <v>3</v>
      </c>
      <c r="AW6" s="129">
        <v>168</v>
      </c>
      <c r="AX6" s="128">
        <v>134</v>
      </c>
      <c r="AY6" s="130" t="s">
        <v>65</v>
      </c>
      <c r="AZ6" s="130" t="s">
        <v>107</v>
      </c>
      <c r="BA6" s="80"/>
      <c r="BB6" s="80"/>
      <c r="BC6" s="80"/>
    </row>
    <row r="7" spans="1:55" s="131" customFormat="1">
      <c r="A7" s="81" t="s">
        <v>387</v>
      </c>
      <c r="B7" s="123" t="s">
        <v>388</v>
      </c>
      <c r="C7" s="124" t="s">
        <v>389</v>
      </c>
      <c r="D7" s="82" t="s">
        <v>164</v>
      </c>
      <c r="E7" s="124" t="s">
        <v>390</v>
      </c>
      <c r="F7" s="86" t="s">
        <v>66</v>
      </c>
      <c r="G7" s="86" t="s">
        <v>391</v>
      </c>
      <c r="H7" s="80"/>
      <c r="I7" s="80"/>
      <c r="J7" s="80"/>
      <c r="K7" s="80"/>
      <c r="L7" s="80" t="s">
        <v>392</v>
      </c>
      <c r="M7" s="80"/>
      <c r="N7" s="80">
        <v>83190</v>
      </c>
      <c r="O7" s="80"/>
      <c r="P7" s="80" t="s">
        <v>393</v>
      </c>
      <c r="Q7" s="80"/>
      <c r="R7" s="80"/>
      <c r="S7" s="80"/>
      <c r="T7" s="80"/>
      <c r="U7" s="80"/>
      <c r="V7" s="80"/>
      <c r="W7" s="80"/>
      <c r="X7" s="80"/>
      <c r="Y7" s="80"/>
      <c r="Z7" s="80" t="s">
        <v>394</v>
      </c>
      <c r="AA7" s="80"/>
      <c r="AB7" s="80"/>
      <c r="AC7" s="80"/>
      <c r="AD7" s="125">
        <v>49190</v>
      </c>
      <c r="AE7" s="126"/>
      <c r="AF7" s="126"/>
      <c r="AG7" s="91"/>
      <c r="AH7" s="127"/>
      <c r="AI7" s="128">
        <v>8.74</v>
      </c>
      <c r="AJ7" s="128">
        <v>8.74</v>
      </c>
      <c r="AK7" s="128">
        <v>15.98</v>
      </c>
      <c r="AL7" s="128">
        <v>0.71</v>
      </c>
      <c r="AM7" s="128">
        <v>2.4</v>
      </c>
      <c r="AN7" s="128">
        <v>8.74</v>
      </c>
      <c r="AO7" s="128">
        <v>8.74</v>
      </c>
      <c r="AP7" s="128">
        <v>15.98</v>
      </c>
      <c r="AQ7" s="128">
        <v>0.71</v>
      </c>
      <c r="AR7" s="128">
        <v>2.4</v>
      </c>
      <c r="AS7" s="92" t="s">
        <v>68</v>
      </c>
      <c r="AT7" s="129">
        <v>1</v>
      </c>
      <c r="AU7" s="129">
        <v>20</v>
      </c>
      <c r="AV7" s="129">
        <v>2</v>
      </c>
      <c r="AW7" s="129">
        <v>40</v>
      </c>
      <c r="AX7" s="128">
        <v>146</v>
      </c>
      <c r="AY7" s="130" t="s">
        <v>65</v>
      </c>
      <c r="AZ7" s="130" t="s">
        <v>107</v>
      </c>
      <c r="BA7" s="80"/>
      <c r="BB7" s="80"/>
      <c r="BC7" s="80"/>
    </row>
    <row r="8" spans="1:55" s="131" customFormat="1" ht="30">
      <c r="A8" s="81" t="s">
        <v>395</v>
      </c>
      <c r="B8" s="123" t="s">
        <v>396</v>
      </c>
      <c r="C8" s="124" t="s">
        <v>397</v>
      </c>
      <c r="D8" s="82" t="s">
        <v>164</v>
      </c>
      <c r="E8" s="124" t="s">
        <v>398</v>
      </c>
      <c r="F8" s="86" t="s">
        <v>66</v>
      </c>
      <c r="G8" s="86" t="s">
        <v>399</v>
      </c>
      <c r="H8" s="80"/>
      <c r="I8" s="80"/>
      <c r="J8" s="80"/>
      <c r="K8" s="80"/>
      <c r="L8" s="80" t="s">
        <v>400</v>
      </c>
      <c r="M8" s="80"/>
      <c r="N8" s="80">
        <v>83189</v>
      </c>
      <c r="O8" s="80"/>
      <c r="P8" s="80" t="s">
        <v>401</v>
      </c>
      <c r="Q8" s="80"/>
      <c r="R8" s="80"/>
      <c r="S8" s="80"/>
      <c r="T8" s="80"/>
      <c r="U8" s="80"/>
      <c r="V8" s="80"/>
      <c r="W8" s="80"/>
      <c r="X8" s="80"/>
      <c r="Y8" s="80"/>
      <c r="Z8" s="80" t="s">
        <v>402</v>
      </c>
      <c r="AA8" s="80"/>
      <c r="AB8" s="80"/>
      <c r="AC8" s="80"/>
      <c r="AD8" s="125">
        <v>49189</v>
      </c>
      <c r="AE8" s="126"/>
      <c r="AF8" s="126"/>
      <c r="AG8" s="91"/>
      <c r="AH8" s="127"/>
      <c r="AI8" s="128">
        <v>5.74</v>
      </c>
      <c r="AJ8" s="128">
        <v>5.74</v>
      </c>
      <c r="AK8" s="128">
        <v>14.98</v>
      </c>
      <c r="AL8" s="128">
        <v>0.28999999999999998</v>
      </c>
      <c r="AM8" s="128">
        <v>0.7</v>
      </c>
      <c r="AN8" s="128">
        <v>5.74</v>
      </c>
      <c r="AO8" s="128">
        <v>5.74</v>
      </c>
      <c r="AP8" s="128">
        <v>14.98</v>
      </c>
      <c r="AQ8" s="128">
        <v>0.28999999999999998</v>
      </c>
      <c r="AR8" s="128">
        <v>0.7</v>
      </c>
      <c r="AS8" s="92" t="s">
        <v>68</v>
      </c>
      <c r="AT8" s="129">
        <v>1</v>
      </c>
      <c r="AU8" s="129">
        <v>48</v>
      </c>
      <c r="AV8" s="129">
        <v>2</v>
      </c>
      <c r="AW8" s="129">
        <v>96</v>
      </c>
      <c r="AX8" s="128">
        <v>117</v>
      </c>
      <c r="AY8" s="130" t="s">
        <v>65</v>
      </c>
      <c r="AZ8" s="130" t="s">
        <v>107</v>
      </c>
      <c r="BA8" s="80"/>
      <c r="BB8" s="80"/>
      <c r="BC8" s="80"/>
    </row>
    <row r="9" spans="1:55" s="131" customFormat="1">
      <c r="A9" s="81" t="s">
        <v>403</v>
      </c>
      <c r="B9" s="123" t="s">
        <v>404</v>
      </c>
      <c r="C9" s="124" t="s">
        <v>405</v>
      </c>
      <c r="D9" s="82" t="s">
        <v>406</v>
      </c>
      <c r="E9" s="124" t="s">
        <v>407</v>
      </c>
      <c r="F9" s="86" t="s">
        <v>244</v>
      </c>
      <c r="G9" s="80">
        <v>4270722120</v>
      </c>
      <c r="H9" s="86" t="s">
        <v>244</v>
      </c>
      <c r="I9" s="80">
        <v>4260732441</v>
      </c>
      <c r="J9" s="80"/>
      <c r="K9" s="80"/>
      <c r="L9" s="80" t="s">
        <v>408</v>
      </c>
      <c r="M9" s="80"/>
      <c r="N9" s="80">
        <v>83820</v>
      </c>
      <c r="O9" s="80"/>
      <c r="P9" s="80" t="s">
        <v>409</v>
      </c>
      <c r="Q9" s="80"/>
      <c r="R9" s="80" t="s">
        <v>410</v>
      </c>
      <c r="S9" s="80" t="s">
        <v>411</v>
      </c>
      <c r="T9" s="80"/>
      <c r="U9" s="80"/>
      <c r="V9" s="80"/>
      <c r="W9" s="80"/>
      <c r="X9" s="80"/>
      <c r="Y9" s="80"/>
      <c r="Z9" s="80" t="s">
        <v>412</v>
      </c>
      <c r="AA9" s="80"/>
      <c r="AB9" s="80"/>
      <c r="AC9" s="80"/>
      <c r="AD9" s="125">
        <v>49820</v>
      </c>
      <c r="AE9" s="126"/>
      <c r="AF9" s="126"/>
      <c r="AG9" s="91"/>
      <c r="AH9" s="127"/>
      <c r="AI9" s="128">
        <v>12.74</v>
      </c>
      <c r="AJ9" s="128">
        <v>3.24</v>
      </c>
      <c r="AK9" s="128">
        <v>12.68</v>
      </c>
      <c r="AL9" s="128">
        <v>0.3</v>
      </c>
      <c r="AM9" s="128">
        <v>0.3</v>
      </c>
      <c r="AN9" s="128">
        <v>12.74</v>
      </c>
      <c r="AO9" s="128">
        <v>3.24</v>
      </c>
      <c r="AP9" s="128">
        <v>12.68</v>
      </c>
      <c r="AQ9" s="128">
        <v>0.3</v>
      </c>
      <c r="AR9" s="128">
        <v>0.3</v>
      </c>
      <c r="AS9" s="92" t="s">
        <v>68</v>
      </c>
      <c r="AT9" s="129">
        <v>1</v>
      </c>
      <c r="AU9" s="129">
        <v>9</v>
      </c>
      <c r="AV9" s="129">
        <v>13</v>
      </c>
      <c r="AW9" s="129">
        <v>117</v>
      </c>
      <c r="AX9" s="128">
        <v>85</v>
      </c>
      <c r="AY9" s="130" t="s">
        <v>65</v>
      </c>
      <c r="AZ9" s="130" t="s">
        <v>107</v>
      </c>
      <c r="BA9" s="80"/>
      <c r="BB9" s="80"/>
      <c r="BC9" s="80"/>
    </row>
    <row r="10" spans="1:55" s="131" customFormat="1" ht="45">
      <c r="A10" s="81" t="s">
        <v>413</v>
      </c>
      <c r="B10" s="123" t="s">
        <v>404</v>
      </c>
      <c r="C10" s="124" t="s">
        <v>414</v>
      </c>
      <c r="D10" s="82" t="s">
        <v>415</v>
      </c>
      <c r="E10" s="124" t="s">
        <v>416</v>
      </c>
      <c r="F10" s="86" t="s">
        <v>214</v>
      </c>
      <c r="G10" s="86" t="s">
        <v>417</v>
      </c>
      <c r="H10" s="86" t="s">
        <v>418</v>
      </c>
      <c r="I10" s="80" t="s">
        <v>419</v>
      </c>
      <c r="J10" s="86" t="s">
        <v>420</v>
      </c>
      <c r="K10" s="86" t="s">
        <v>421</v>
      </c>
      <c r="L10" s="80"/>
      <c r="M10" s="80"/>
      <c r="N10" s="80">
        <v>83666</v>
      </c>
      <c r="O10" s="80"/>
      <c r="P10" s="80" t="s">
        <v>422</v>
      </c>
      <c r="Q10" s="80"/>
      <c r="R10" s="86" t="s">
        <v>423</v>
      </c>
      <c r="S10" s="80"/>
      <c r="T10" s="80"/>
      <c r="U10" s="80"/>
      <c r="V10" s="80"/>
      <c r="W10" s="86" t="s">
        <v>424</v>
      </c>
      <c r="X10" s="80"/>
      <c r="Y10" s="80"/>
      <c r="Z10" s="80" t="s">
        <v>425</v>
      </c>
      <c r="AA10" s="80"/>
      <c r="AB10" s="80"/>
      <c r="AC10" s="80"/>
      <c r="AD10" s="125">
        <v>49666</v>
      </c>
      <c r="AE10" s="126"/>
      <c r="AF10" s="126"/>
      <c r="AG10" s="91"/>
      <c r="AH10" s="127"/>
      <c r="AI10" s="128">
        <v>14.24</v>
      </c>
      <c r="AJ10" s="128">
        <v>9.14</v>
      </c>
      <c r="AK10" s="128">
        <v>8.3800000000000008</v>
      </c>
      <c r="AL10" s="128">
        <v>0.63</v>
      </c>
      <c r="AM10" s="128">
        <v>3.9</v>
      </c>
      <c r="AN10" s="128">
        <v>14.24</v>
      </c>
      <c r="AO10" s="128">
        <v>9.14</v>
      </c>
      <c r="AP10" s="128">
        <v>8.3800000000000008</v>
      </c>
      <c r="AQ10" s="128">
        <v>0.63</v>
      </c>
      <c r="AR10" s="128">
        <v>3.9</v>
      </c>
      <c r="AS10" s="92" t="s">
        <v>68</v>
      </c>
      <c r="AT10" s="129">
        <v>1</v>
      </c>
      <c r="AU10" s="129">
        <v>13</v>
      </c>
      <c r="AV10" s="129">
        <v>5</v>
      </c>
      <c r="AW10" s="129">
        <v>65</v>
      </c>
      <c r="AX10" s="128">
        <v>304</v>
      </c>
      <c r="AY10" s="130" t="s">
        <v>65</v>
      </c>
      <c r="AZ10" s="130" t="s">
        <v>107</v>
      </c>
      <c r="BA10" s="80"/>
      <c r="BB10" s="80"/>
      <c r="BC10" s="80"/>
    </row>
    <row r="11" spans="1:55" s="131" customFormat="1">
      <c r="A11" s="81" t="s">
        <v>426</v>
      </c>
      <c r="B11" s="123" t="s">
        <v>427</v>
      </c>
      <c r="C11" s="124" t="s">
        <v>428</v>
      </c>
      <c r="D11" s="124" t="s">
        <v>429</v>
      </c>
      <c r="E11" s="124">
        <v>1403116</v>
      </c>
      <c r="H11" s="80"/>
      <c r="I11" s="80"/>
      <c r="J11" s="80"/>
      <c r="K11" s="80"/>
      <c r="M11" s="80"/>
      <c r="N11" s="80">
        <v>83087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 t="s">
        <v>430</v>
      </c>
      <c r="AA11" s="80"/>
      <c r="AB11" s="80"/>
      <c r="AC11" s="80"/>
      <c r="AD11" s="125">
        <v>49087</v>
      </c>
      <c r="AE11" s="126"/>
      <c r="AF11" s="126"/>
      <c r="AG11" s="127">
        <v>16.37</v>
      </c>
      <c r="AH11" s="127">
        <f>AG11/0.4444</f>
        <v>36.836183618361837</v>
      </c>
      <c r="AI11" s="128">
        <v>7.12</v>
      </c>
      <c r="AJ11" s="128">
        <v>1.87</v>
      </c>
      <c r="AK11" s="128">
        <v>11.24</v>
      </c>
      <c r="AL11" s="128">
        <v>0.09</v>
      </c>
      <c r="AM11" s="128">
        <v>0.4</v>
      </c>
      <c r="AN11" s="128">
        <v>7.12</v>
      </c>
      <c r="AO11" s="128">
        <v>1.87</v>
      </c>
      <c r="AP11" s="128">
        <v>11.24</v>
      </c>
      <c r="AQ11" s="128">
        <v>0.09</v>
      </c>
      <c r="AR11" s="128">
        <v>0.4</v>
      </c>
      <c r="AS11" s="92" t="s">
        <v>68</v>
      </c>
      <c r="AT11" s="129">
        <v>1</v>
      </c>
      <c r="AU11" s="129">
        <v>150</v>
      </c>
      <c r="AV11" s="129">
        <v>3</v>
      </c>
      <c r="AW11" s="129">
        <v>450</v>
      </c>
      <c r="AX11" s="128">
        <v>230</v>
      </c>
      <c r="AY11" s="130" t="s">
        <v>431</v>
      </c>
      <c r="AZ11" s="130" t="s">
        <v>107</v>
      </c>
      <c r="BA11" s="80"/>
      <c r="BB11" s="80"/>
      <c r="BC11" s="80"/>
    </row>
    <row r="12" spans="1:55" s="131" customFormat="1">
      <c r="A12" s="81" t="s">
        <v>432</v>
      </c>
      <c r="B12" s="123" t="s">
        <v>433</v>
      </c>
      <c r="C12" s="124" t="s">
        <v>434</v>
      </c>
      <c r="D12" s="124" t="s">
        <v>435</v>
      </c>
      <c r="E12" s="82" t="s">
        <v>436</v>
      </c>
      <c r="F12" s="86" t="s">
        <v>437</v>
      </c>
      <c r="G12" s="86" t="s">
        <v>438</v>
      </c>
      <c r="H12" s="86" t="s">
        <v>439</v>
      </c>
      <c r="I12" s="86" t="s">
        <v>440</v>
      </c>
      <c r="J12" s="80"/>
      <c r="K12" s="80"/>
      <c r="L12" s="86" t="s">
        <v>441</v>
      </c>
      <c r="M12" s="80"/>
      <c r="N12" s="80">
        <v>87828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 t="s">
        <v>442</v>
      </c>
      <c r="AA12" s="80"/>
      <c r="AB12" s="80"/>
      <c r="AC12" s="80"/>
      <c r="AD12" s="125">
        <v>42828</v>
      </c>
      <c r="AE12" s="126"/>
      <c r="AF12" s="126"/>
      <c r="AG12" s="127">
        <v>12.85</v>
      </c>
      <c r="AH12" s="127">
        <f t="shared" ref="AH12:AH18" si="0">AG12/0.4444</f>
        <v>28.915391539153912</v>
      </c>
      <c r="AI12" s="128">
        <v>6</v>
      </c>
      <c r="AJ12" s="128">
        <v>2</v>
      </c>
      <c r="AK12" s="128">
        <v>12</v>
      </c>
      <c r="AL12" s="128">
        <v>0.08</v>
      </c>
      <c r="AM12" s="128">
        <v>0.5</v>
      </c>
      <c r="AN12" s="128">
        <v>12.49</v>
      </c>
      <c r="AO12" s="128">
        <v>6.61</v>
      </c>
      <c r="AP12" s="128">
        <v>12.73</v>
      </c>
      <c r="AQ12" s="128">
        <v>0.61</v>
      </c>
      <c r="AR12" s="128">
        <v>3</v>
      </c>
      <c r="AS12" s="92" t="s">
        <v>68</v>
      </c>
      <c r="AT12" s="129">
        <v>6</v>
      </c>
      <c r="AU12" s="129">
        <v>21</v>
      </c>
      <c r="AV12" s="129">
        <v>3</v>
      </c>
      <c r="AW12" s="129">
        <v>378</v>
      </c>
      <c r="AX12" s="128">
        <v>239</v>
      </c>
      <c r="AY12" s="130" t="s">
        <v>431</v>
      </c>
      <c r="AZ12" s="130" t="s">
        <v>107</v>
      </c>
      <c r="BA12" s="80"/>
      <c r="BB12" s="80"/>
      <c r="BC12" s="80"/>
    </row>
    <row r="13" spans="1:55" s="131" customFormat="1">
      <c r="A13" s="81" t="s">
        <v>443</v>
      </c>
      <c r="B13" s="123" t="s">
        <v>380</v>
      </c>
      <c r="C13" s="82" t="s">
        <v>444</v>
      </c>
      <c r="D13" s="82" t="s">
        <v>445</v>
      </c>
      <c r="E13" s="82" t="s">
        <v>446</v>
      </c>
      <c r="F13" s="86" t="s">
        <v>447</v>
      </c>
      <c r="G13" s="86" t="s">
        <v>448</v>
      </c>
      <c r="H13" s="86" t="s">
        <v>282</v>
      </c>
      <c r="I13" s="80">
        <v>24177194</v>
      </c>
      <c r="J13" s="86" t="s">
        <v>449</v>
      </c>
      <c r="K13" s="80">
        <v>2010945</v>
      </c>
      <c r="L13" s="80"/>
      <c r="M13" s="80"/>
      <c r="N13" s="80">
        <v>88063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125">
        <v>6063</v>
      </c>
      <c r="AA13" s="80"/>
      <c r="AB13" s="80"/>
      <c r="AC13" s="80"/>
      <c r="AD13" s="125">
        <v>46063</v>
      </c>
      <c r="AE13" s="126"/>
      <c r="AF13" s="126"/>
      <c r="AG13" s="127">
        <v>22.48</v>
      </c>
      <c r="AH13" s="127">
        <f t="shared" si="0"/>
        <v>50.585058505850583</v>
      </c>
      <c r="AI13" s="128">
        <v>4.37</v>
      </c>
      <c r="AJ13" s="128">
        <v>4.37</v>
      </c>
      <c r="AK13" s="128">
        <v>5.25</v>
      </c>
      <c r="AL13" s="128">
        <v>0.06</v>
      </c>
      <c r="AM13" s="128">
        <v>0.66700000000000004</v>
      </c>
      <c r="AN13" s="128">
        <v>14.12</v>
      </c>
      <c r="AO13" s="128">
        <v>9.49</v>
      </c>
      <c r="AP13" s="128">
        <v>5.85</v>
      </c>
      <c r="AQ13" s="128">
        <v>0.45</v>
      </c>
      <c r="AR13" s="128">
        <v>4</v>
      </c>
      <c r="AS13" s="92" t="s">
        <v>68</v>
      </c>
      <c r="AT13" s="129">
        <v>6</v>
      </c>
      <c r="AU13" s="129">
        <v>13</v>
      </c>
      <c r="AV13" s="129">
        <v>7</v>
      </c>
      <c r="AW13" s="129">
        <v>546</v>
      </c>
      <c r="AX13" s="128">
        <v>414</v>
      </c>
      <c r="AY13" s="130" t="s">
        <v>431</v>
      </c>
      <c r="AZ13" s="130" t="s">
        <v>107</v>
      </c>
      <c r="BA13" s="80"/>
      <c r="BB13" s="80"/>
      <c r="BC13" s="80"/>
    </row>
    <row r="14" spans="1:55" s="131" customFormat="1">
      <c r="A14" s="81" t="s">
        <v>450</v>
      </c>
      <c r="B14" s="123" t="s">
        <v>404</v>
      </c>
      <c r="C14" s="82" t="s">
        <v>83</v>
      </c>
      <c r="D14" s="82" t="s">
        <v>308</v>
      </c>
      <c r="E14" s="124">
        <v>1118738</v>
      </c>
      <c r="F14" s="80"/>
      <c r="G14" s="80"/>
      <c r="H14" s="80"/>
      <c r="I14" s="80"/>
      <c r="J14" s="80"/>
      <c r="K14" s="80"/>
      <c r="L14" s="80"/>
      <c r="M14" s="80"/>
      <c r="N14" s="80">
        <v>89693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125">
        <v>4693</v>
      </c>
      <c r="AA14" s="80"/>
      <c r="AB14" s="80"/>
      <c r="AC14" s="80"/>
      <c r="AD14" s="125">
        <v>24693</v>
      </c>
      <c r="AE14" s="126"/>
      <c r="AF14" s="126"/>
      <c r="AG14" s="127">
        <v>9.41</v>
      </c>
      <c r="AH14" s="127">
        <f t="shared" si="0"/>
        <v>21.174617461746173</v>
      </c>
      <c r="AI14" s="128">
        <v>4.62</v>
      </c>
      <c r="AJ14" s="128">
        <v>4.62</v>
      </c>
      <c r="AK14" s="128">
        <v>6</v>
      </c>
      <c r="AL14" s="128">
        <v>7.0000000000000007E-2</v>
      </c>
      <c r="AM14" s="128">
        <v>0.33300000000000002</v>
      </c>
      <c r="AN14" s="128">
        <v>14.74</v>
      </c>
      <c r="AO14" s="128">
        <v>9.99</v>
      </c>
      <c r="AP14" s="128">
        <v>6.6</v>
      </c>
      <c r="AQ14" s="128">
        <v>0.56000000000000005</v>
      </c>
      <c r="AR14" s="128">
        <v>1.998</v>
      </c>
      <c r="AS14" s="92" t="s">
        <v>68</v>
      </c>
      <c r="AT14" s="129">
        <v>6</v>
      </c>
      <c r="AU14" s="129">
        <v>12</v>
      </c>
      <c r="AV14" s="129">
        <v>6</v>
      </c>
      <c r="AW14" s="129">
        <v>432</v>
      </c>
      <c r="AX14" s="128">
        <v>194</v>
      </c>
      <c r="AY14" s="130" t="s">
        <v>65</v>
      </c>
      <c r="AZ14" s="130" t="s">
        <v>107</v>
      </c>
      <c r="BA14" s="80"/>
      <c r="BB14" s="80"/>
      <c r="BC14" s="80"/>
    </row>
    <row r="15" spans="1:55" s="131" customFormat="1">
      <c r="A15" s="81" t="s">
        <v>451</v>
      </c>
      <c r="B15" s="123" t="s">
        <v>380</v>
      </c>
      <c r="C15" s="124" t="s">
        <v>452</v>
      </c>
      <c r="D15" s="124"/>
      <c r="E15" s="124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 t="s">
        <v>453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5"/>
      <c r="AE15" s="126"/>
      <c r="AF15" s="126"/>
      <c r="AG15" s="127">
        <v>30.94</v>
      </c>
      <c r="AH15" s="127">
        <f t="shared" si="0"/>
        <v>69.621962196219627</v>
      </c>
      <c r="AI15" s="128">
        <v>7.75</v>
      </c>
      <c r="AJ15" s="128">
        <v>2</v>
      </c>
      <c r="AK15" s="128">
        <v>10.5</v>
      </c>
      <c r="AL15" s="128">
        <v>0.09</v>
      </c>
      <c r="AM15" s="128">
        <v>0.25</v>
      </c>
      <c r="AN15" s="128">
        <v>15.99</v>
      </c>
      <c r="AO15" s="128">
        <v>6.61</v>
      </c>
      <c r="AP15" s="128">
        <v>11.23</v>
      </c>
      <c r="AQ15" s="128">
        <v>0.69</v>
      </c>
      <c r="AR15" s="128">
        <v>1.5</v>
      </c>
      <c r="AS15" s="92" t="s">
        <v>68</v>
      </c>
      <c r="AT15" s="129">
        <v>6</v>
      </c>
      <c r="AU15" s="129">
        <v>18</v>
      </c>
      <c r="AV15" s="129">
        <v>3</v>
      </c>
      <c r="AW15" s="129">
        <v>324</v>
      </c>
      <c r="AX15" s="128">
        <v>131</v>
      </c>
      <c r="AY15" s="130" t="s">
        <v>431</v>
      </c>
      <c r="AZ15" s="130" t="s">
        <v>107</v>
      </c>
      <c r="BA15" s="80"/>
      <c r="BB15" s="80"/>
      <c r="BC15" s="80"/>
    </row>
    <row r="16" spans="1:55" s="131" customFormat="1" ht="45">
      <c r="A16" s="81" t="s">
        <v>454</v>
      </c>
      <c r="B16" s="123" t="s">
        <v>380</v>
      </c>
      <c r="C16" s="124" t="s">
        <v>455</v>
      </c>
      <c r="D16" s="82" t="s">
        <v>456</v>
      </c>
      <c r="E16" s="124" t="s">
        <v>457</v>
      </c>
      <c r="F16" s="86" t="s">
        <v>95</v>
      </c>
      <c r="G16" s="80">
        <v>87300190</v>
      </c>
      <c r="H16" s="86" t="s">
        <v>66</v>
      </c>
      <c r="I16" s="80">
        <v>87300189</v>
      </c>
      <c r="J16" s="86" t="s">
        <v>439</v>
      </c>
      <c r="K16" s="86" t="s">
        <v>458</v>
      </c>
      <c r="L16" s="80" t="s">
        <v>459</v>
      </c>
      <c r="M16" s="80"/>
      <c r="N16" s="80">
        <v>83410</v>
      </c>
      <c r="O16" s="80"/>
      <c r="P16" s="80"/>
      <c r="Q16" s="80"/>
      <c r="R16" s="80" t="s">
        <v>460</v>
      </c>
      <c r="S16" s="80"/>
      <c r="T16" s="80"/>
      <c r="U16" s="80"/>
      <c r="V16" s="80"/>
      <c r="W16" s="80"/>
      <c r="X16" s="80"/>
      <c r="Y16" s="80"/>
      <c r="Z16" s="80" t="s">
        <v>461</v>
      </c>
      <c r="AA16" s="80"/>
      <c r="AB16" s="80"/>
      <c r="AC16" s="80"/>
      <c r="AD16" s="125">
        <v>49410</v>
      </c>
      <c r="AE16" s="126"/>
      <c r="AF16" s="126"/>
      <c r="AG16" s="127">
        <v>35.869999999999997</v>
      </c>
      <c r="AH16" s="127">
        <f t="shared" si="0"/>
        <v>80.715571557155712</v>
      </c>
      <c r="AI16" s="128">
        <v>3.93</v>
      </c>
      <c r="AJ16" s="128">
        <v>3.93</v>
      </c>
      <c r="AK16" s="128">
        <v>7</v>
      </c>
      <c r="AL16" s="128">
        <v>0.06</v>
      </c>
      <c r="AM16" s="128">
        <v>0.75</v>
      </c>
      <c r="AN16" s="128">
        <v>12.36</v>
      </c>
      <c r="AO16" s="128">
        <v>8.36</v>
      </c>
      <c r="AP16" s="128">
        <v>7.6</v>
      </c>
      <c r="AQ16" s="128">
        <v>0.45</v>
      </c>
      <c r="AR16" s="128">
        <v>4.5</v>
      </c>
      <c r="AS16" s="92" t="s">
        <v>68</v>
      </c>
      <c r="AT16" s="129">
        <v>6</v>
      </c>
      <c r="AU16" s="129">
        <v>16</v>
      </c>
      <c r="AV16" s="129">
        <v>5</v>
      </c>
      <c r="AW16" s="129">
        <v>480</v>
      </c>
      <c r="AX16" s="128">
        <v>410</v>
      </c>
      <c r="AY16" s="130" t="s">
        <v>65</v>
      </c>
      <c r="AZ16" s="130" t="s">
        <v>107</v>
      </c>
      <c r="BA16" s="80"/>
      <c r="BB16" s="80"/>
      <c r="BC16" s="80"/>
    </row>
    <row r="17" spans="1:55" s="131" customFormat="1">
      <c r="A17" s="81" t="s">
        <v>462</v>
      </c>
      <c r="B17" s="123" t="s">
        <v>463</v>
      </c>
      <c r="C17" s="82" t="s">
        <v>83</v>
      </c>
      <c r="D17" s="82" t="s">
        <v>83</v>
      </c>
      <c r="E17" s="82">
        <v>2456375</v>
      </c>
      <c r="F17" s="86" t="s">
        <v>52</v>
      </c>
      <c r="G17" s="86" t="s">
        <v>464</v>
      </c>
      <c r="H17" s="86" t="s">
        <v>445</v>
      </c>
      <c r="I17" s="80">
        <v>54672563</v>
      </c>
      <c r="J17" s="86" t="s">
        <v>214</v>
      </c>
      <c r="K17" s="86" t="s">
        <v>465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6" t="s">
        <v>466</v>
      </c>
      <c r="X17" s="80"/>
      <c r="Y17" s="80"/>
      <c r="Z17" s="80"/>
      <c r="AA17" s="80"/>
      <c r="AB17" s="80"/>
      <c r="AC17" s="80"/>
      <c r="AD17" s="125"/>
      <c r="AE17" s="126"/>
      <c r="AF17" s="126"/>
      <c r="AG17" s="127">
        <v>146.61000000000001</v>
      </c>
      <c r="AH17" s="127">
        <f t="shared" si="0"/>
        <v>329.90549054905495</v>
      </c>
      <c r="AI17" s="128">
        <v>10.84</v>
      </c>
      <c r="AJ17" s="128">
        <v>10.84</v>
      </c>
      <c r="AK17" s="128">
        <v>22.3</v>
      </c>
      <c r="AL17" s="128">
        <v>1.52</v>
      </c>
      <c r="AM17" s="128">
        <v>5</v>
      </c>
      <c r="AN17" s="128">
        <v>10.84</v>
      </c>
      <c r="AO17" s="128">
        <v>10.84</v>
      </c>
      <c r="AP17" s="128">
        <v>22.3</v>
      </c>
      <c r="AQ17" s="128">
        <v>1.52</v>
      </c>
      <c r="AR17" s="128">
        <v>5</v>
      </c>
      <c r="AS17" s="92" t="s">
        <v>68</v>
      </c>
      <c r="AT17" s="129">
        <v>1</v>
      </c>
      <c r="AU17" s="129">
        <v>12</v>
      </c>
      <c r="AV17" s="129">
        <v>2</v>
      </c>
      <c r="AW17" s="129">
        <v>24</v>
      </c>
      <c r="AX17" s="128">
        <v>170</v>
      </c>
      <c r="AY17" s="130" t="s">
        <v>65</v>
      </c>
      <c r="AZ17" s="130" t="s">
        <v>107</v>
      </c>
      <c r="BA17" s="80"/>
      <c r="BB17" s="80"/>
      <c r="BC17" s="80"/>
    </row>
    <row r="18" spans="1:55" s="131" customFormat="1">
      <c r="A18" s="81" t="s">
        <v>467</v>
      </c>
      <c r="B18" s="123" t="s">
        <v>468</v>
      </c>
      <c r="C18" s="124" t="s">
        <v>469</v>
      </c>
      <c r="D18" s="82" t="s">
        <v>470</v>
      </c>
      <c r="E18" s="124">
        <v>1492333</v>
      </c>
      <c r="F18" s="80"/>
      <c r="G18" s="80"/>
      <c r="H18" s="80"/>
      <c r="I18" s="80"/>
      <c r="J18" s="80"/>
      <c r="K18" s="80"/>
      <c r="L18" s="80"/>
      <c r="M18" s="80"/>
      <c r="N18" s="80">
        <v>86933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 t="s">
        <v>471</v>
      </c>
      <c r="AA18" s="80"/>
      <c r="AB18" s="80"/>
      <c r="AC18" s="80"/>
      <c r="AD18" s="125">
        <v>33933</v>
      </c>
      <c r="AE18" s="126"/>
      <c r="AF18" s="126"/>
      <c r="AG18" s="127">
        <v>20.11</v>
      </c>
      <c r="AH18" s="127">
        <f t="shared" si="0"/>
        <v>45.252025202520251</v>
      </c>
      <c r="AI18" s="128">
        <v>2.25</v>
      </c>
      <c r="AJ18" s="128">
        <v>1.5</v>
      </c>
      <c r="AK18" s="128">
        <v>2.25</v>
      </c>
      <c r="AL18" s="128">
        <v>0.01</v>
      </c>
      <c r="AM18" s="128">
        <v>0.1</v>
      </c>
      <c r="AN18" s="128">
        <v>9.99</v>
      </c>
      <c r="AO18" s="128">
        <v>4.99</v>
      </c>
      <c r="AP18" s="128">
        <v>5.0999999999999996</v>
      </c>
      <c r="AQ18" s="128">
        <v>0.15</v>
      </c>
      <c r="AR18" s="128">
        <v>2.4</v>
      </c>
      <c r="AS18" s="92" t="s">
        <v>68</v>
      </c>
      <c r="AT18" s="129">
        <v>24</v>
      </c>
      <c r="AU18" s="129">
        <v>36</v>
      </c>
      <c r="AV18" s="129">
        <v>8</v>
      </c>
      <c r="AW18" s="129">
        <v>6912</v>
      </c>
      <c r="AX18" s="128">
        <v>741</v>
      </c>
      <c r="AY18" s="130" t="s">
        <v>65</v>
      </c>
      <c r="AZ18" s="130" t="s">
        <v>67</v>
      </c>
      <c r="BA18" s="80"/>
      <c r="BB18" s="80"/>
      <c r="BC18" s="80"/>
    </row>
    <row r="19" spans="1:55" s="131" customFormat="1">
      <c r="A19" s="81" t="s">
        <v>472</v>
      </c>
      <c r="B19" s="123" t="s">
        <v>320</v>
      </c>
      <c r="C19" s="124" t="s">
        <v>473</v>
      </c>
      <c r="D19" s="82" t="s">
        <v>474</v>
      </c>
      <c r="E19" s="124">
        <v>2698325</v>
      </c>
      <c r="F19" s="86" t="s">
        <v>475</v>
      </c>
      <c r="G19" s="86" t="s">
        <v>476</v>
      </c>
      <c r="H19" s="86" t="s">
        <v>477</v>
      </c>
      <c r="I19" s="86" t="s">
        <v>478</v>
      </c>
      <c r="J19" s="80"/>
      <c r="K19" s="80"/>
      <c r="L19" s="80" t="s">
        <v>479</v>
      </c>
      <c r="M19" s="80"/>
      <c r="N19" s="80">
        <v>84325</v>
      </c>
      <c r="O19" s="80"/>
      <c r="P19" s="80" t="s">
        <v>480</v>
      </c>
      <c r="Q19" s="80"/>
      <c r="R19" s="80" t="s">
        <v>481</v>
      </c>
      <c r="S19" s="80"/>
      <c r="T19" s="80"/>
      <c r="U19" s="80"/>
      <c r="V19" s="80"/>
      <c r="W19" s="80"/>
      <c r="X19" s="80"/>
      <c r="Y19" s="80"/>
      <c r="Z19" s="80" t="s">
        <v>482</v>
      </c>
      <c r="AA19" s="80"/>
      <c r="AB19" s="80"/>
      <c r="AC19" s="80"/>
      <c r="AD19" s="125">
        <v>57325</v>
      </c>
      <c r="AE19" s="126"/>
      <c r="AF19" s="126"/>
      <c r="AG19" s="91"/>
      <c r="AH19" s="127"/>
      <c r="AI19" s="128">
        <v>3.87</v>
      </c>
      <c r="AJ19" s="128">
        <v>3.87</v>
      </c>
      <c r="AK19" s="128">
        <v>8.75</v>
      </c>
      <c r="AL19" s="128">
        <v>0.08</v>
      </c>
      <c r="AM19" s="128">
        <v>1.667</v>
      </c>
      <c r="AN19" s="128">
        <v>12.34</v>
      </c>
      <c r="AO19" s="128">
        <v>8.34</v>
      </c>
      <c r="AP19" s="128">
        <v>9.68</v>
      </c>
      <c r="AQ19" s="128">
        <v>0.57999999999999996</v>
      </c>
      <c r="AR19" s="128">
        <v>10</v>
      </c>
      <c r="AS19" s="92" t="s">
        <v>68</v>
      </c>
      <c r="AT19" s="129">
        <v>6</v>
      </c>
      <c r="AU19" s="129">
        <v>16</v>
      </c>
      <c r="AV19" s="129">
        <v>4</v>
      </c>
      <c r="AW19" s="129">
        <v>384</v>
      </c>
      <c r="AX19" s="128">
        <v>690</v>
      </c>
      <c r="AY19" s="130" t="s">
        <v>65</v>
      </c>
      <c r="AZ19" s="130" t="s">
        <v>67</v>
      </c>
      <c r="BA19" s="80"/>
      <c r="BB19" s="80"/>
      <c r="BC19" s="80"/>
    </row>
    <row r="20" spans="1:55" s="131" customFormat="1" ht="30">
      <c r="A20" s="81" t="s">
        <v>483</v>
      </c>
      <c r="B20" s="123" t="s">
        <v>320</v>
      </c>
      <c r="C20" s="124" t="s">
        <v>484</v>
      </c>
      <c r="D20" s="82" t="s">
        <v>485</v>
      </c>
      <c r="E20" s="124">
        <v>32004133</v>
      </c>
      <c r="F20" s="80"/>
      <c r="G20" s="80"/>
      <c r="H20" s="80"/>
      <c r="I20" s="80"/>
      <c r="J20" s="80"/>
      <c r="K20" s="80"/>
      <c r="L20" s="80" t="s">
        <v>486</v>
      </c>
      <c r="M20" s="80"/>
      <c r="N20" s="80">
        <v>84233</v>
      </c>
      <c r="O20" s="80"/>
      <c r="P20" s="80"/>
      <c r="Q20" s="80"/>
      <c r="R20" s="80"/>
      <c r="S20" s="80"/>
      <c r="T20" s="80"/>
      <c r="U20" s="80"/>
      <c r="V20" s="80"/>
      <c r="W20" s="86" t="s">
        <v>487</v>
      </c>
      <c r="X20" s="80"/>
      <c r="Y20" s="80"/>
      <c r="Z20" s="80">
        <v>7233</v>
      </c>
      <c r="AA20" s="80"/>
      <c r="AB20" s="80"/>
      <c r="AC20" s="80"/>
      <c r="AD20" s="125">
        <v>57233</v>
      </c>
      <c r="AE20" s="126"/>
      <c r="AF20" s="126"/>
      <c r="AG20" s="91"/>
      <c r="AH20" s="127"/>
      <c r="AI20" s="128">
        <v>3.93</v>
      </c>
      <c r="AJ20" s="128">
        <v>3.93</v>
      </c>
      <c r="AK20" s="128">
        <v>7</v>
      </c>
      <c r="AL20" s="128">
        <v>0.06</v>
      </c>
      <c r="AM20" s="128">
        <v>1.4</v>
      </c>
      <c r="AN20" s="128">
        <v>16.46</v>
      </c>
      <c r="AO20" s="128">
        <v>12.46</v>
      </c>
      <c r="AP20" s="128">
        <v>7.8</v>
      </c>
      <c r="AQ20" s="128">
        <v>0.93</v>
      </c>
      <c r="AR20" s="128">
        <v>16.8</v>
      </c>
      <c r="AS20" s="92" t="s">
        <v>68</v>
      </c>
      <c r="AT20" s="129">
        <v>12</v>
      </c>
      <c r="AU20" s="129">
        <v>8</v>
      </c>
      <c r="AV20" s="129">
        <v>5</v>
      </c>
      <c r="AW20" s="129">
        <v>480</v>
      </c>
      <c r="AX20" s="128">
        <v>722</v>
      </c>
      <c r="AY20" s="130" t="s">
        <v>65</v>
      </c>
      <c r="AZ20" s="130" t="s">
        <v>67</v>
      </c>
      <c r="BA20" s="80"/>
      <c r="BB20" s="80"/>
      <c r="BC20" s="80"/>
    </row>
    <row r="21" spans="1:55" s="131" customFormat="1">
      <c r="A21" s="81" t="s">
        <v>488</v>
      </c>
      <c r="B21" s="123" t="s">
        <v>489</v>
      </c>
      <c r="C21" s="124" t="s">
        <v>490</v>
      </c>
      <c r="D21" s="82" t="s">
        <v>491</v>
      </c>
      <c r="E21" s="124" t="s">
        <v>492</v>
      </c>
      <c r="F21" s="86"/>
      <c r="G21" s="80"/>
      <c r="H21" s="86"/>
      <c r="I21" s="86"/>
      <c r="J21" s="86"/>
      <c r="K21" s="86"/>
      <c r="L21" s="86" t="s">
        <v>493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 t="s">
        <v>494</v>
      </c>
      <c r="AA21" s="80"/>
      <c r="AB21" s="80"/>
      <c r="AC21" s="80"/>
      <c r="AD21" s="125">
        <v>51692</v>
      </c>
      <c r="AE21" s="126"/>
      <c r="AF21" s="126"/>
      <c r="AG21" s="127">
        <v>118.82</v>
      </c>
      <c r="AH21" s="127">
        <f t="shared" ref="AH21:AH29" si="1">AG21/0.4444</f>
        <v>267.37173717371735</v>
      </c>
      <c r="AI21" s="128">
        <v>4.34</v>
      </c>
      <c r="AJ21" s="128">
        <v>4.34</v>
      </c>
      <c r="AK21" s="128">
        <v>13.68</v>
      </c>
      <c r="AL21" s="128">
        <v>0.15</v>
      </c>
      <c r="AM21" s="128">
        <v>1</v>
      </c>
      <c r="AN21" s="128">
        <v>4.34</v>
      </c>
      <c r="AO21" s="128">
        <v>4.34</v>
      </c>
      <c r="AP21" s="128">
        <v>13.68</v>
      </c>
      <c r="AQ21" s="128">
        <v>0.15</v>
      </c>
      <c r="AR21" s="128">
        <v>1</v>
      </c>
      <c r="AS21" s="92" t="s">
        <v>68</v>
      </c>
      <c r="AT21" s="129">
        <v>1</v>
      </c>
      <c r="AU21" s="129">
        <v>33</v>
      </c>
      <c r="AV21" s="129">
        <v>9</v>
      </c>
      <c r="AW21" s="129">
        <v>297</v>
      </c>
      <c r="AX21" s="128">
        <v>347</v>
      </c>
      <c r="AY21" s="130" t="s">
        <v>65</v>
      </c>
      <c r="AZ21" s="130" t="s">
        <v>352</v>
      </c>
      <c r="BA21" s="80"/>
      <c r="BB21" s="80"/>
      <c r="BC21" s="80"/>
    </row>
    <row r="22" spans="1:55" s="131" customFormat="1">
      <c r="A22" s="81" t="s">
        <v>495</v>
      </c>
      <c r="B22" s="123" t="s">
        <v>496</v>
      </c>
      <c r="C22" s="124" t="s">
        <v>497</v>
      </c>
      <c r="D22" s="82" t="s">
        <v>498</v>
      </c>
      <c r="E22" s="124">
        <v>87803264</v>
      </c>
      <c r="F22" s="86" t="s">
        <v>499</v>
      </c>
      <c r="G22" s="80">
        <v>87803268</v>
      </c>
      <c r="H22" s="86" t="s">
        <v>500</v>
      </c>
      <c r="I22" s="80">
        <v>4899413</v>
      </c>
      <c r="J22" s="86" t="s">
        <v>258</v>
      </c>
      <c r="K22" s="80">
        <v>504071210</v>
      </c>
      <c r="L22" s="80" t="s">
        <v>501</v>
      </c>
      <c r="M22" s="80"/>
      <c r="N22" s="80"/>
      <c r="O22" s="80"/>
      <c r="P22" s="80" t="s">
        <v>502</v>
      </c>
      <c r="Q22" s="80"/>
      <c r="R22" s="80" t="s">
        <v>503</v>
      </c>
      <c r="S22" s="80" t="s">
        <v>504</v>
      </c>
      <c r="T22" s="80"/>
      <c r="U22" s="80"/>
      <c r="V22" s="80"/>
      <c r="W22" s="80"/>
      <c r="X22" s="80"/>
      <c r="Y22" s="80"/>
      <c r="Z22" s="80" t="s">
        <v>505</v>
      </c>
      <c r="AA22" s="80"/>
      <c r="AB22" s="80"/>
      <c r="AC22" s="80"/>
      <c r="AD22" s="125">
        <v>33472</v>
      </c>
      <c r="AE22" s="126"/>
      <c r="AF22" s="126"/>
      <c r="AG22" s="127">
        <v>28.48</v>
      </c>
      <c r="AH22" s="127">
        <f t="shared" si="1"/>
        <v>64.086408640864079</v>
      </c>
      <c r="AI22" s="128">
        <v>3.875</v>
      </c>
      <c r="AJ22" s="128">
        <v>3.875</v>
      </c>
      <c r="AK22" s="128">
        <v>5.81</v>
      </c>
      <c r="AL22" s="128">
        <v>0.05</v>
      </c>
      <c r="AM22" s="128">
        <v>1.07</v>
      </c>
      <c r="AN22" s="128">
        <v>12.35</v>
      </c>
      <c r="AO22" s="128">
        <v>8.24</v>
      </c>
      <c r="AP22" s="128">
        <v>6.17</v>
      </c>
      <c r="AQ22" s="128">
        <v>0.36</v>
      </c>
      <c r="AR22" s="128">
        <v>6.42</v>
      </c>
      <c r="AS22" s="92" t="s">
        <v>68</v>
      </c>
      <c r="AT22" s="129">
        <v>6</v>
      </c>
      <c r="AU22" s="129">
        <v>16</v>
      </c>
      <c r="AV22" s="129">
        <v>7</v>
      </c>
      <c r="AW22" s="129">
        <v>672</v>
      </c>
      <c r="AX22" s="128">
        <v>769</v>
      </c>
      <c r="AY22" s="130" t="s">
        <v>65</v>
      </c>
      <c r="AZ22" s="130" t="s">
        <v>67</v>
      </c>
      <c r="BA22" s="80"/>
      <c r="BB22" s="80"/>
      <c r="BC22" s="80"/>
    </row>
    <row r="23" spans="1:55" s="131" customFormat="1" ht="30">
      <c r="A23" s="81" t="s">
        <v>506</v>
      </c>
      <c r="B23" s="123" t="s">
        <v>507</v>
      </c>
      <c r="C23" s="124" t="s">
        <v>508</v>
      </c>
      <c r="D23" s="124" t="s">
        <v>509</v>
      </c>
      <c r="E23" s="124">
        <v>100855</v>
      </c>
      <c r="F23" s="80"/>
      <c r="G23" s="80"/>
      <c r="H23" s="80"/>
      <c r="I23" s="80"/>
      <c r="J23" s="80"/>
      <c r="K23" s="80"/>
      <c r="L23" s="80" t="s">
        <v>510</v>
      </c>
      <c r="M23" s="80"/>
      <c r="N23" s="80">
        <v>83767</v>
      </c>
      <c r="O23" s="80"/>
      <c r="P23" s="80" t="s">
        <v>511</v>
      </c>
      <c r="Q23" s="80"/>
      <c r="R23" s="86" t="s">
        <v>512</v>
      </c>
      <c r="S23" s="80"/>
      <c r="T23" s="80"/>
      <c r="U23" s="80"/>
      <c r="V23" s="80"/>
      <c r="W23" s="80"/>
      <c r="X23" s="80"/>
      <c r="Y23" s="80"/>
      <c r="Z23" s="80" t="s">
        <v>513</v>
      </c>
      <c r="AA23" s="80"/>
      <c r="AB23" s="80"/>
      <c r="AC23" s="80"/>
      <c r="AD23" s="125">
        <v>49767</v>
      </c>
      <c r="AE23" s="126"/>
      <c r="AF23" s="126"/>
      <c r="AG23" s="91"/>
      <c r="AH23" s="127"/>
      <c r="AI23" s="128">
        <v>7</v>
      </c>
      <c r="AJ23" s="128">
        <v>1.75</v>
      </c>
      <c r="AK23" s="128">
        <v>11.5</v>
      </c>
      <c r="AL23" s="128">
        <v>0.08</v>
      </c>
      <c r="AM23" s="128">
        <v>0.71699999999999997</v>
      </c>
      <c r="AN23" s="128">
        <v>11.59</v>
      </c>
      <c r="AO23" s="128">
        <v>7.77</v>
      </c>
      <c r="AP23" s="128">
        <v>12.43</v>
      </c>
      <c r="AQ23" s="128">
        <v>0.65</v>
      </c>
      <c r="AR23" s="128">
        <v>4.3</v>
      </c>
      <c r="AS23" s="92" t="s">
        <v>68</v>
      </c>
      <c r="AT23" s="129">
        <v>6</v>
      </c>
      <c r="AU23" s="129">
        <v>20</v>
      </c>
      <c r="AV23" s="129">
        <v>3</v>
      </c>
      <c r="AW23" s="129">
        <v>360</v>
      </c>
      <c r="AX23" s="128">
        <v>308</v>
      </c>
      <c r="AY23" s="130" t="s">
        <v>514</v>
      </c>
      <c r="AZ23" s="130" t="s">
        <v>107</v>
      </c>
      <c r="BA23" s="80"/>
      <c r="BB23" s="80"/>
      <c r="BC23" s="80"/>
    </row>
    <row r="24" spans="1:55" s="131" customFormat="1">
      <c r="A24" s="81" t="s">
        <v>515</v>
      </c>
      <c r="B24" s="123" t="s">
        <v>516</v>
      </c>
      <c r="C24" s="82" t="s">
        <v>517</v>
      </c>
      <c r="D24" s="82" t="s">
        <v>83</v>
      </c>
      <c r="E24" s="124">
        <v>1504142</v>
      </c>
      <c r="F24" s="80"/>
      <c r="G24" s="80"/>
      <c r="H24" s="80"/>
      <c r="I24" s="80"/>
      <c r="J24" s="80"/>
      <c r="K24" s="80"/>
      <c r="L24" s="86" t="s">
        <v>512</v>
      </c>
      <c r="M24" s="80"/>
      <c r="N24" s="80"/>
      <c r="O24" s="80"/>
      <c r="P24" s="86" t="s">
        <v>512</v>
      </c>
      <c r="Q24" s="80"/>
      <c r="R24" s="86" t="s">
        <v>512</v>
      </c>
      <c r="S24" s="80"/>
      <c r="T24" s="80"/>
      <c r="U24" s="80"/>
      <c r="V24" s="80"/>
      <c r="W24" s="80"/>
      <c r="X24" s="80"/>
      <c r="Y24" s="80"/>
      <c r="Z24" s="80" t="s">
        <v>518</v>
      </c>
      <c r="AA24" s="80"/>
      <c r="AB24" s="80"/>
      <c r="AC24" s="80"/>
      <c r="AD24" s="125">
        <v>33742</v>
      </c>
      <c r="AE24" s="126"/>
      <c r="AF24" s="126"/>
      <c r="AG24" s="127">
        <v>14.79</v>
      </c>
      <c r="AH24" s="127">
        <f t="shared" si="1"/>
        <v>33.280828082808277</v>
      </c>
      <c r="AI24" s="128">
        <v>3.31</v>
      </c>
      <c r="AJ24" s="128">
        <v>3.31</v>
      </c>
      <c r="AK24" s="128">
        <v>3.18</v>
      </c>
      <c r="AL24" s="128">
        <v>0.02</v>
      </c>
      <c r="AM24" s="128">
        <v>0.75</v>
      </c>
      <c r="AN24" s="128">
        <v>10.36</v>
      </c>
      <c r="AO24" s="128">
        <v>6.99</v>
      </c>
      <c r="AP24" s="128">
        <v>6.85</v>
      </c>
      <c r="AQ24" s="128">
        <v>0.28999999999999998</v>
      </c>
      <c r="AR24" s="128">
        <v>9</v>
      </c>
      <c r="AS24" s="92" t="s">
        <v>68</v>
      </c>
      <c r="AT24" s="129">
        <v>12</v>
      </c>
      <c r="AU24" s="129">
        <v>22</v>
      </c>
      <c r="AV24" s="129">
        <v>6</v>
      </c>
      <c r="AW24" s="129">
        <v>1584</v>
      </c>
      <c r="AX24" s="128">
        <v>1238</v>
      </c>
      <c r="AY24" s="130" t="s">
        <v>514</v>
      </c>
      <c r="AZ24" s="130" t="s">
        <v>67</v>
      </c>
      <c r="BA24" s="80"/>
      <c r="BB24" s="80"/>
      <c r="BC24" s="80"/>
    </row>
    <row r="25" spans="1:55" s="131" customFormat="1">
      <c r="A25" s="81" t="s">
        <v>519</v>
      </c>
      <c r="B25" s="123" t="s">
        <v>520</v>
      </c>
      <c r="C25" s="82" t="s">
        <v>521</v>
      </c>
      <c r="D25" s="82" t="s">
        <v>367</v>
      </c>
      <c r="E25" s="124">
        <v>1506635</v>
      </c>
      <c r="F25" s="86" t="s">
        <v>52</v>
      </c>
      <c r="G25" s="86" t="s">
        <v>522</v>
      </c>
      <c r="H25" s="86" t="s">
        <v>260</v>
      </c>
      <c r="I25" s="86" t="s">
        <v>523</v>
      </c>
      <c r="J25" s="86" t="s">
        <v>335</v>
      </c>
      <c r="K25" s="80">
        <v>3090288</v>
      </c>
      <c r="L25" s="80"/>
      <c r="M25" s="80"/>
      <c r="N25" s="80">
        <v>89374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>
        <v>4374</v>
      </c>
      <c r="AA25" s="80"/>
      <c r="AB25" s="80"/>
      <c r="AC25" s="80"/>
      <c r="AD25" s="125">
        <v>24374</v>
      </c>
      <c r="AE25" s="126"/>
      <c r="AF25" s="126"/>
      <c r="AG25" s="127">
        <v>84.36</v>
      </c>
      <c r="AH25" s="127">
        <f t="shared" si="1"/>
        <v>189.82898289828981</v>
      </c>
      <c r="AI25" s="128">
        <v>5.86</v>
      </c>
      <c r="AJ25" s="128">
        <v>5.86</v>
      </c>
      <c r="AK25" s="128">
        <v>7.48</v>
      </c>
      <c r="AL25" s="128">
        <v>0.15</v>
      </c>
      <c r="AM25" s="128">
        <v>6.25</v>
      </c>
      <c r="AN25" s="128">
        <v>5.86</v>
      </c>
      <c r="AO25" s="128">
        <v>5.86</v>
      </c>
      <c r="AP25" s="128">
        <v>7.48</v>
      </c>
      <c r="AQ25" s="128">
        <v>0.15</v>
      </c>
      <c r="AR25" s="128">
        <v>6.25</v>
      </c>
      <c r="AS25" s="92" t="s">
        <v>68</v>
      </c>
      <c r="AT25" s="129">
        <v>1</v>
      </c>
      <c r="AU25" s="129">
        <v>48</v>
      </c>
      <c r="AV25" s="129">
        <v>5</v>
      </c>
      <c r="AW25" s="129">
        <v>240</v>
      </c>
      <c r="AX25" s="128">
        <v>1550</v>
      </c>
      <c r="AY25" s="130" t="s">
        <v>377</v>
      </c>
      <c r="AZ25" s="130" t="s">
        <v>67</v>
      </c>
      <c r="BA25" s="80"/>
      <c r="BB25" s="80"/>
      <c r="BC25" s="80"/>
    </row>
    <row r="26" spans="1:55" s="131" customFormat="1">
      <c r="A26" s="81" t="s">
        <v>524</v>
      </c>
      <c r="B26" s="123" t="s">
        <v>516</v>
      </c>
      <c r="C26" s="82" t="s">
        <v>94</v>
      </c>
      <c r="D26" s="82" t="s">
        <v>94</v>
      </c>
      <c r="E26" s="82" t="s">
        <v>525</v>
      </c>
      <c r="F26" s="80"/>
      <c r="G26" s="80"/>
      <c r="H26" s="80"/>
      <c r="I26" s="80"/>
      <c r="J26" s="80"/>
      <c r="K26" s="80"/>
      <c r="L26" s="80"/>
      <c r="M26" s="80"/>
      <c r="N26" s="80">
        <v>86979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>
        <v>3979</v>
      </c>
      <c r="AA26" s="80"/>
      <c r="AB26" s="80"/>
      <c r="AC26" s="80"/>
      <c r="AD26" s="125">
        <v>33979</v>
      </c>
      <c r="AE26" s="126"/>
      <c r="AF26" s="126"/>
      <c r="AG26" s="127">
        <v>161.22999999999999</v>
      </c>
      <c r="AH26" s="127">
        <f t="shared" si="1"/>
        <v>362.80378037803774</v>
      </c>
      <c r="AI26" s="128">
        <v>4.5599999999999996</v>
      </c>
      <c r="AJ26" s="128">
        <v>4.5599999999999996</v>
      </c>
      <c r="AK26" s="128">
        <v>9.5</v>
      </c>
      <c r="AL26" s="128">
        <v>0.11</v>
      </c>
      <c r="AM26" s="128">
        <v>2.87</v>
      </c>
      <c r="AN26" s="128">
        <v>14.49</v>
      </c>
      <c r="AO26" s="128">
        <v>10.11</v>
      </c>
      <c r="AP26" s="128">
        <v>10.35</v>
      </c>
      <c r="AQ26" s="128">
        <v>0.88</v>
      </c>
      <c r="AR26" s="128">
        <v>17.22</v>
      </c>
      <c r="AS26" s="92" t="s">
        <v>68</v>
      </c>
      <c r="AT26" s="129">
        <v>6</v>
      </c>
      <c r="AU26" s="129">
        <v>11</v>
      </c>
      <c r="AV26" s="129">
        <v>4</v>
      </c>
      <c r="AW26" s="129">
        <v>264</v>
      </c>
      <c r="AX26" s="128">
        <v>808</v>
      </c>
      <c r="AY26" s="130" t="s">
        <v>65</v>
      </c>
      <c r="AZ26" s="130" t="s">
        <v>67</v>
      </c>
      <c r="BA26" s="80"/>
      <c r="BB26" s="80"/>
      <c r="BC26" s="80"/>
    </row>
    <row r="27" spans="1:55" s="131" customFormat="1">
      <c r="A27" s="81" t="s">
        <v>526</v>
      </c>
      <c r="B27" s="123" t="s">
        <v>280</v>
      </c>
      <c r="C27" s="82" t="s">
        <v>94</v>
      </c>
      <c r="D27" s="82" t="s">
        <v>94</v>
      </c>
      <c r="E27" s="82" t="s">
        <v>527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>
        <v>3969</v>
      </c>
      <c r="AA27" s="80"/>
      <c r="AB27" s="80"/>
      <c r="AC27" s="80"/>
      <c r="AD27" s="125">
        <v>33969</v>
      </c>
      <c r="AE27" s="126"/>
      <c r="AF27" s="126"/>
      <c r="AG27" s="127">
        <v>165.93</v>
      </c>
      <c r="AH27" s="127">
        <f t="shared" si="1"/>
        <v>373.37983798379838</v>
      </c>
      <c r="AI27" s="128">
        <v>4.62</v>
      </c>
      <c r="AJ27" s="128">
        <v>4.62</v>
      </c>
      <c r="AK27" s="128">
        <v>8.75</v>
      </c>
      <c r="AL27" s="128">
        <v>0.11</v>
      </c>
      <c r="AM27" s="128">
        <v>2.02</v>
      </c>
      <c r="AN27" s="128">
        <v>14.74</v>
      </c>
      <c r="AO27" s="128">
        <v>9.99</v>
      </c>
      <c r="AP27" s="128">
        <v>9.35</v>
      </c>
      <c r="AQ27" s="128">
        <v>0.8</v>
      </c>
      <c r="AR27" s="128">
        <v>12.12</v>
      </c>
      <c r="AS27" s="92" t="s">
        <v>68</v>
      </c>
      <c r="AT27" s="129">
        <v>6</v>
      </c>
      <c r="AU27" s="129">
        <v>12</v>
      </c>
      <c r="AV27" s="129">
        <v>4</v>
      </c>
      <c r="AW27" s="129">
        <v>288</v>
      </c>
      <c r="AX27" s="128">
        <v>632</v>
      </c>
      <c r="AY27" s="130" t="s">
        <v>65</v>
      </c>
      <c r="AZ27" s="130" t="s">
        <v>67</v>
      </c>
      <c r="BA27" s="80"/>
      <c r="BB27" s="80"/>
      <c r="BC27" s="80"/>
    </row>
    <row r="28" spans="1:55" s="131" customFormat="1">
      <c r="A28" s="81">
        <v>1150</v>
      </c>
      <c r="B28" s="123" t="s">
        <v>528</v>
      </c>
      <c r="C28" s="124" t="s">
        <v>529</v>
      </c>
      <c r="D28" s="124"/>
      <c r="E28" s="124"/>
      <c r="F28" s="80"/>
      <c r="G28" s="80"/>
      <c r="H28" s="80"/>
      <c r="I28" s="80"/>
      <c r="J28" s="80"/>
      <c r="K28" s="80"/>
      <c r="L28" s="80">
        <v>65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5"/>
      <c r="AE28" s="126"/>
      <c r="AF28" s="126"/>
      <c r="AG28" s="132">
        <v>173.02</v>
      </c>
      <c r="AH28" s="127">
        <f t="shared" si="1"/>
        <v>389.33393339333935</v>
      </c>
      <c r="AI28" s="128">
        <v>5.24</v>
      </c>
      <c r="AJ28" s="128">
        <v>4.4800000000000004</v>
      </c>
      <c r="AK28" s="128">
        <v>6.99</v>
      </c>
      <c r="AL28" s="128">
        <v>0.09</v>
      </c>
      <c r="AM28" s="128">
        <v>1.55</v>
      </c>
      <c r="AN28" s="128">
        <v>5.24</v>
      </c>
      <c r="AO28" s="128">
        <v>4.4800000000000004</v>
      </c>
      <c r="AP28" s="128">
        <v>6.99</v>
      </c>
      <c r="AQ28" s="128">
        <v>0.09</v>
      </c>
      <c r="AR28" s="128">
        <v>1.55</v>
      </c>
      <c r="AS28" s="92" t="s">
        <v>68</v>
      </c>
      <c r="AT28" s="129">
        <v>1</v>
      </c>
      <c r="AU28" s="129">
        <v>45</v>
      </c>
      <c r="AV28" s="129">
        <v>7</v>
      </c>
      <c r="AW28" s="129">
        <v>315</v>
      </c>
      <c r="AX28" s="128">
        <v>538</v>
      </c>
      <c r="AY28" s="130" t="s">
        <v>65</v>
      </c>
      <c r="AZ28" s="130" t="s">
        <v>67</v>
      </c>
      <c r="BA28" s="80"/>
      <c r="BB28" s="80"/>
      <c r="BC28" s="80"/>
    </row>
    <row r="29" spans="1:55" s="131" customFormat="1">
      <c r="A29" s="81" t="s">
        <v>530</v>
      </c>
      <c r="B29" s="123" t="s">
        <v>531</v>
      </c>
      <c r="C29" s="124" t="s">
        <v>532</v>
      </c>
      <c r="D29" s="82" t="s">
        <v>533</v>
      </c>
      <c r="E29" s="124">
        <v>81363</v>
      </c>
      <c r="F29" s="80"/>
      <c r="G29" s="80"/>
      <c r="H29" s="80"/>
      <c r="I29" s="80"/>
      <c r="J29" s="80"/>
      <c r="K29" s="80"/>
      <c r="L29" s="80" t="s">
        <v>534</v>
      </c>
      <c r="M29" s="80"/>
      <c r="N29" s="80"/>
      <c r="O29" s="80"/>
      <c r="P29" s="80" t="s">
        <v>535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5"/>
      <c r="AE29" s="126"/>
      <c r="AF29" s="126"/>
      <c r="AG29" s="132">
        <v>157.47999999999999</v>
      </c>
      <c r="AH29" s="127">
        <f t="shared" si="1"/>
        <v>354.36543654365431</v>
      </c>
      <c r="AI29" s="128">
        <v>31.25</v>
      </c>
      <c r="AJ29" s="128">
        <v>24</v>
      </c>
      <c r="AK29" s="128">
        <v>4.75</v>
      </c>
      <c r="AL29" s="128">
        <v>2.06</v>
      </c>
      <c r="AM29" s="128">
        <v>10.7</v>
      </c>
      <c r="AN29" s="128">
        <v>31.25</v>
      </c>
      <c r="AO29" s="128">
        <v>24</v>
      </c>
      <c r="AP29" s="128">
        <v>4.75</v>
      </c>
      <c r="AQ29" s="128">
        <v>2.06</v>
      </c>
      <c r="AR29" s="128">
        <v>10.7</v>
      </c>
      <c r="AS29" s="92" t="s">
        <v>68</v>
      </c>
      <c r="AT29" s="129">
        <v>1</v>
      </c>
      <c r="AU29" s="129">
        <v>2</v>
      </c>
      <c r="AV29" s="129">
        <v>9</v>
      </c>
      <c r="AW29" s="129">
        <v>18</v>
      </c>
      <c r="AX29" s="128">
        <v>243</v>
      </c>
      <c r="AY29" s="130" t="s">
        <v>65</v>
      </c>
      <c r="AZ29" s="130" t="s">
        <v>107</v>
      </c>
      <c r="BA29" s="80"/>
      <c r="BB29" s="80"/>
      <c r="BC29" s="80"/>
    </row>
    <row r="30" spans="1:55" s="131" customFormat="1">
      <c r="A30" s="2"/>
      <c r="B30" s="133"/>
      <c r="C30" s="12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5"/>
      <c r="AE30" s="126"/>
      <c r="AF30" s="126"/>
      <c r="AG30" s="132"/>
      <c r="AH30" s="127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25"/>
      <c r="AU30" s="125"/>
      <c r="AV30" s="125"/>
      <c r="AW30" s="125"/>
      <c r="AX30" s="135"/>
      <c r="AY30" s="125"/>
      <c r="AZ30" s="125"/>
      <c r="BA30" s="80"/>
      <c r="BB30" s="80"/>
      <c r="BC30" s="80"/>
    </row>
    <row r="31" spans="1:55" s="131" customFormat="1">
      <c r="A31" s="2"/>
      <c r="B31" s="133"/>
      <c r="C31" s="12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5"/>
      <c r="AE31" s="126"/>
      <c r="AF31" s="126"/>
      <c r="AG31" s="132"/>
      <c r="AH31" s="127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25"/>
      <c r="AU31" s="125"/>
      <c r="AV31" s="125"/>
      <c r="AW31" s="125"/>
      <c r="AX31" s="135"/>
      <c r="AY31" s="125"/>
      <c r="AZ31" s="125"/>
      <c r="BA31" s="80"/>
      <c r="BB31" s="80"/>
      <c r="BC31" s="80"/>
    </row>
    <row r="32" spans="1:55" s="131" customFormat="1">
      <c r="A32" s="2"/>
      <c r="B32" s="133"/>
      <c r="C32" s="124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5"/>
      <c r="AE32" s="126"/>
      <c r="AF32" s="126"/>
      <c r="AG32" s="132"/>
      <c r="AH32" s="127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25"/>
      <c r="AU32" s="125"/>
      <c r="AV32" s="125"/>
      <c r="AW32" s="125"/>
      <c r="AX32" s="135"/>
      <c r="AY32" s="125"/>
      <c r="AZ32" s="125"/>
      <c r="BA32" s="80"/>
      <c r="BB32" s="80"/>
      <c r="BC32" s="80"/>
    </row>
    <row r="33" spans="1:55" s="131" customFormat="1">
      <c r="A33" s="2"/>
      <c r="B33" s="133"/>
      <c r="C33" s="124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5"/>
      <c r="AE33" s="126"/>
      <c r="AF33" s="126"/>
      <c r="AG33" s="132"/>
      <c r="AH33" s="127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25"/>
      <c r="AU33" s="125"/>
      <c r="AV33" s="125"/>
      <c r="AW33" s="125"/>
      <c r="AX33" s="135"/>
      <c r="AY33" s="125"/>
      <c r="AZ33" s="125"/>
      <c r="BA33" s="80"/>
      <c r="BB33" s="80"/>
      <c r="BC33" s="80"/>
    </row>
    <row r="34" spans="1:55" s="131" customFormat="1">
      <c r="A34" s="2"/>
      <c r="B34" s="133"/>
      <c r="C34" s="124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5"/>
      <c r="AE34" s="126"/>
      <c r="AF34" s="126"/>
      <c r="AG34" s="132"/>
      <c r="AH34" s="127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25"/>
      <c r="AU34" s="125"/>
      <c r="AV34" s="125"/>
      <c r="AW34" s="125"/>
      <c r="AX34" s="135"/>
      <c r="AY34" s="125"/>
      <c r="AZ34" s="125"/>
      <c r="BA34" s="80"/>
      <c r="BB34" s="80"/>
      <c r="BC34" s="80"/>
    </row>
    <row r="35" spans="1:55" s="131" customFormat="1">
      <c r="A35" s="2"/>
      <c r="B35" s="133"/>
      <c r="C35" s="124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5"/>
      <c r="AE35" s="126"/>
      <c r="AF35" s="126"/>
      <c r="AG35" s="132"/>
      <c r="AH35" s="127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25"/>
      <c r="AU35" s="125"/>
      <c r="AV35" s="125"/>
      <c r="AW35" s="125"/>
      <c r="AX35" s="135"/>
      <c r="AY35" s="125"/>
      <c r="AZ35" s="125"/>
      <c r="BA35" s="80"/>
      <c r="BB35" s="80"/>
      <c r="BC35" s="80"/>
    </row>
    <row r="36" spans="1:55" s="131" customFormat="1">
      <c r="A36" s="2"/>
      <c r="B36" s="133"/>
      <c r="C36" s="124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5"/>
      <c r="AE36" s="126"/>
      <c r="AF36" s="126"/>
      <c r="AG36" s="132"/>
      <c r="AH36" s="127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25"/>
      <c r="AU36" s="125"/>
      <c r="AV36" s="125"/>
      <c r="AW36" s="125"/>
      <c r="AX36" s="135"/>
      <c r="AY36" s="125"/>
      <c r="AZ36" s="125"/>
      <c r="BA36" s="80"/>
      <c r="BB36" s="80"/>
      <c r="BC36" s="80"/>
    </row>
    <row r="37" spans="1:55">
      <c r="A37" s="2"/>
      <c r="B37" s="3"/>
    </row>
    <row r="38" spans="1:55">
      <c r="A38" s="2"/>
      <c r="B38" s="3"/>
    </row>
    <row r="39" spans="1:55">
      <c r="A39" s="2"/>
      <c r="B39" s="3"/>
    </row>
    <row r="40" spans="1:55">
      <c r="A40" s="2"/>
      <c r="B40" s="3"/>
    </row>
    <row r="41" spans="1:55">
      <c r="A41" s="2"/>
      <c r="B41" s="3"/>
    </row>
    <row r="42" spans="1:55">
      <c r="A42" s="2"/>
      <c r="B42" s="3"/>
    </row>
    <row r="43" spans="1:55">
      <c r="A43" s="2"/>
      <c r="B43" s="3"/>
    </row>
    <row r="44" spans="1:55">
      <c r="A44" s="2"/>
      <c r="B44" s="3"/>
    </row>
    <row r="45" spans="1:55">
      <c r="A45" s="2"/>
      <c r="B45" s="3"/>
    </row>
    <row r="46" spans="1:55">
      <c r="A46" s="2"/>
      <c r="B46" s="3"/>
    </row>
    <row r="47" spans="1:55">
      <c r="A47" s="2"/>
      <c r="B47" s="3"/>
    </row>
    <row r="48" spans="1:55">
      <c r="A48" s="2"/>
      <c r="B48" s="3"/>
    </row>
    <row r="49" spans="1:2">
      <c r="A49" s="2"/>
      <c r="B49" s="3"/>
    </row>
    <row r="50" spans="1:2">
      <c r="A50" s="2"/>
      <c r="B50" s="3"/>
    </row>
    <row r="51" spans="1:2">
      <c r="A51" s="2"/>
      <c r="B51" s="3"/>
    </row>
    <row r="52" spans="1:2">
      <c r="A52" s="2"/>
      <c r="B52" s="3"/>
    </row>
    <row r="53" spans="1:2">
      <c r="A53" s="2"/>
      <c r="B53" s="3"/>
    </row>
    <row r="54" spans="1:2">
      <c r="A54" s="2"/>
      <c r="B54" s="3"/>
    </row>
    <row r="55" spans="1:2">
      <c r="A55" s="2"/>
      <c r="B55" s="3"/>
    </row>
    <row r="56" spans="1:2">
      <c r="A56" s="2"/>
      <c r="B56" s="3"/>
    </row>
    <row r="57" spans="1:2">
      <c r="A57" s="2"/>
      <c r="B57" s="3"/>
    </row>
    <row r="58" spans="1:2">
      <c r="A58" s="2"/>
      <c r="B58" s="3"/>
    </row>
    <row r="59" spans="1:2">
      <c r="A59" s="2"/>
      <c r="B59" s="3"/>
    </row>
    <row r="60" spans="1:2">
      <c r="A60" s="2"/>
      <c r="B60" s="3"/>
    </row>
    <row r="61" spans="1:2">
      <c r="A61" s="2"/>
      <c r="B61" s="3"/>
    </row>
    <row r="62" spans="1:2">
      <c r="A62" s="2"/>
      <c r="B62" s="3"/>
    </row>
    <row r="63" spans="1:2">
      <c r="A63" s="2"/>
      <c r="B63" s="3"/>
    </row>
    <row r="64" spans="1:2">
      <c r="A64" s="2"/>
      <c r="B64" s="3"/>
    </row>
    <row r="65" spans="1:2">
      <c r="A65" s="2"/>
      <c r="B65" s="3"/>
    </row>
    <row r="66" spans="1:2">
      <c r="A66" s="2"/>
      <c r="B66" s="3"/>
    </row>
    <row r="67" spans="1:2">
      <c r="A67" s="2"/>
      <c r="B67" s="3"/>
    </row>
    <row r="68" spans="1:2">
      <c r="A68" s="2"/>
      <c r="B68" s="3"/>
    </row>
    <row r="69" spans="1:2">
      <c r="A69" s="2"/>
      <c r="B69" s="3"/>
    </row>
    <row r="70" spans="1:2">
      <c r="A70" s="2"/>
      <c r="B70" s="3"/>
    </row>
    <row r="71" spans="1:2">
      <c r="A71" s="2"/>
      <c r="B71" s="3"/>
    </row>
    <row r="72" spans="1:2">
      <c r="A72" s="2"/>
      <c r="B72" s="3"/>
    </row>
    <row r="73" spans="1:2">
      <c r="A73" s="2"/>
      <c r="B73" s="3"/>
    </row>
    <row r="74" spans="1:2">
      <c r="A74" s="2"/>
      <c r="B74" s="3"/>
    </row>
    <row r="75" spans="1:2">
      <c r="A75" s="2"/>
      <c r="B75" s="3"/>
    </row>
    <row r="76" spans="1:2">
      <c r="A76" s="2"/>
      <c r="B76" s="3"/>
    </row>
    <row r="77" spans="1:2">
      <c r="A77" s="2"/>
      <c r="B77" s="3"/>
    </row>
    <row r="78" spans="1:2">
      <c r="A78" s="2"/>
      <c r="B78" s="3"/>
    </row>
    <row r="79" spans="1:2">
      <c r="A79" s="2"/>
      <c r="B79" s="3"/>
    </row>
    <row r="80" spans="1:2">
      <c r="A80" s="2"/>
      <c r="B80" s="3"/>
    </row>
    <row r="81" spans="1:2">
      <c r="A81" s="2"/>
      <c r="B81" s="3"/>
    </row>
    <row r="82" spans="1:2">
      <c r="A82" s="2"/>
      <c r="B82" s="3"/>
    </row>
    <row r="83" spans="1:2">
      <c r="A83" s="2"/>
      <c r="B83" s="3"/>
    </row>
    <row r="84" spans="1:2">
      <c r="A84" s="2"/>
      <c r="B84" s="3"/>
    </row>
    <row r="85" spans="1:2">
      <c r="A85" s="2"/>
      <c r="B85" s="3"/>
    </row>
    <row r="86" spans="1:2">
      <c r="A86" s="2"/>
      <c r="B86" s="3"/>
    </row>
    <row r="87" spans="1:2">
      <c r="A87" s="2"/>
      <c r="B87" s="3"/>
    </row>
    <row r="88" spans="1:2">
      <c r="A88" s="2"/>
      <c r="B88" s="3"/>
    </row>
    <row r="89" spans="1:2">
      <c r="A89" s="2"/>
      <c r="B89" s="3"/>
    </row>
    <row r="90" spans="1:2">
      <c r="A90" s="2"/>
      <c r="B90" s="3"/>
    </row>
    <row r="91" spans="1:2">
      <c r="A91" s="2"/>
      <c r="B91" s="3"/>
    </row>
    <row r="92" spans="1:2">
      <c r="A92" s="2"/>
      <c r="B92" s="3"/>
    </row>
    <row r="93" spans="1:2">
      <c r="A93" s="2"/>
      <c r="B93" s="3"/>
    </row>
    <row r="94" spans="1:2">
      <c r="A94" s="2"/>
      <c r="B94" s="3"/>
    </row>
    <row r="95" spans="1:2">
      <c r="A95" s="2"/>
      <c r="B95" s="3"/>
    </row>
    <row r="96" spans="1:2">
      <c r="A96" s="2"/>
      <c r="B96" s="3"/>
    </row>
    <row r="97" spans="1:2">
      <c r="A97" s="2"/>
      <c r="B97" s="3"/>
    </row>
    <row r="98" spans="1:2">
      <c r="A98" s="2"/>
      <c r="B98" s="3"/>
    </row>
    <row r="99" spans="1:2">
      <c r="A99" s="2"/>
      <c r="B99" s="3"/>
    </row>
    <row r="100" spans="1:2">
      <c r="A100" s="2"/>
      <c r="B100" s="3"/>
    </row>
    <row r="101" spans="1:2">
      <c r="A101" s="2"/>
      <c r="B101" s="3"/>
    </row>
    <row r="102" spans="1:2">
      <c r="A102" s="2"/>
      <c r="B102" s="3"/>
    </row>
    <row r="103" spans="1:2">
      <c r="A103" s="2"/>
      <c r="B103" s="3"/>
    </row>
    <row r="104" spans="1:2">
      <c r="A104" s="2"/>
      <c r="B104" s="3"/>
    </row>
    <row r="105" spans="1:2">
      <c r="A105" s="2"/>
      <c r="B105" s="3"/>
    </row>
    <row r="106" spans="1:2">
      <c r="A106" s="2"/>
      <c r="B106" s="3"/>
    </row>
    <row r="107" spans="1:2">
      <c r="A107" s="2"/>
      <c r="B107" s="3"/>
    </row>
    <row r="108" spans="1:2">
      <c r="A108" s="2"/>
      <c r="B108" s="3"/>
    </row>
    <row r="109" spans="1:2">
      <c r="A109" s="2"/>
      <c r="B109" s="3"/>
    </row>
    <row r="110" spans="1:2">
      <c r="A110" s="2"/>
      <c r="B110" s="3"/>
    </row>
    <row r="111" spans="1:2">
      <c r="A111" s="2"/>
      <c r="B111" s="3"/>
    </row>
    <row r="112" spans="1:2">
      <c r="A112" s="2"/>
      <c r="B112" s="3"/>
    </row>
    <row r="113" spans="1:2">
      <c r="A113" s="2"/>
      <c r="B113" s="3"/>
    </row>
    <row r="114" spans="1:2">
      <c r="A114" s="2"/>
      <c r="B114" s="3"/>
    </row>
    <row r="115" spans="1:2">
      <c r="A115" s="2"/>
      <c r="B115" s="3"/>
    </row>
    <row r="116" spans="1:2">
      <c r="A116" s="2"/>
      <c r="B116" s="3"/>
    </row>
    <row r="117" spans="1:2">
      <c r="A117" s="2"/>
      <c r="B117" s="3"/>
    </row>
    <row r="118" spans="1:2">
      <c r="A118" s="2"/>
      <c r="B118" s="3"/>
    </row>
    <row r="119" spans="1:2">
      <c r="A119" s="2"/>
      <c r="B119" s="3"/>
    </row>
    <row r="120" spans="1:2">
      <c r="A120" s="2"/>
      <c r="B120" s="3"/>
    </row>
    <row r="121" spans="1:2">
      <c r="A121" s="2"/>
      <c r="B121" s="3"/>
    </row>
    <row r="122" spans="1:2">
      <c r="A122" s="2"/>
      <c r="B122" s="3"/>
    </row>
    <row r="123" spans="1:2">
      <c r="A123" s="2"/>
      <c r="B123" s="3"/>
    </row>
    <row r="124" spans="1:2">
      <c r="A124" s="2"/>
      <c r="B124" s="3"/>
    </row>
    <row r="125" spans="1:2">
      <c r="A125" s="2"/>
      <c r="B125" s="3"/>
    </row>
    <row r="126" spans="1:2">
      <c r="A126" s="2"/>
      <c r="B126" s="3"/>
    </row>
    <row r="127" spans="1:2">
      <c r="A127" s="2"/>
      <c r="B127" s="3"/>
    </row>
    <row r="128" spans="1:2">
      <c r="A128" s="2"/>
      <c r="B128" s="3"/>
    </row>
    <row r="129" spans="1:2">
      <c r="A129" s="2"/>
      <c r="B129" s="3"/>
    </row>
    <row r="130" spans="1:2">
      <c r="A130" s="2"/>
      <c r="B130" s="3"/>
    </row>
    <row r="131" spans="1:2">
      <c r="A131" s="2"/>
      <c r="B131" s="3"/>
    </row>
    <row r="132" spans="1:2">
      <c r="A132" s="2"/>
      <c r="B132" s="3"/>
    </row>
    <row r="133" spans="1:2">
      <c r="A133" s="2"/>
      <c r="B133" s="3"/>
    </row>
    <row r="134" spans="1:2">
      <c r="A134" s="2"/>
      <c r="B134" s="3"/>
    </row>
    <row r="135" spans="1:2">
      <c r="A135" s="2"/>
      <c r="B135" s="3"/>
    </row>
    <row r="136" spans="1:2">
      <c r="A136" s="2"/>
      <c r="B136" s="3"/>
    </row>
    <row r="137" spans="1:2">
      <c r="A137" s="2"/>
      <c r="B137" s="3"/>
    </row>
    <row r="138" spans="1:2">
      <c r="A138" s="2"/>
      <c r="B138" s="3"/>
    </row>
    <row r="139" spans="1:2">
      <c r="A139" s="2"/>
      <c r="B139" s="3"/>
    </row>
    <row r="140" spans="1:2">
      <c r="A140" s="2"/>
      <c r="B140" s="3"/>
    </row>
    <row r="141" spans="1:2">
      <c r="A141" s="2"/>
      <c r="B141" s="3"/>
    </row>
    <row r="142" spans="1:2">
      <c r="A142" s="2"/>
      <c r="B142" s="3"/>
    </row>
    <row r="143" spans="1:2">
      <c r="A143" s="2"/>
      <c r="B143" s="3"/>
    </row>
    <row r="144" spans="1:2">
      <c r="A144" s="2"/>
      <c r="B144" s="3"/>
    </row>
    <row r="145" spans="1:2">
      <c r="A145" s="2"/>
      <c r="B145" s="3"/>
    </row>
    <row r="146" spans="1:2">
      <c r="A146" s="2"/>
      <c r="B146" s="3"/>
    </row>
    <row r="147" spans="1:2">
      <c r="A147" s="2"/>
      <c r="B147" s="3"/>
    </row>
    <row r="148" spans="1:2">
      <c r="A148" s="2"/>
      <c r="B148" s="3"/>
    </row>
    <row r="149" spans="1:2">
      <c r="A149" s="2"/>
      <c r="B149" s="3"/>
    </row>
    <row r="150" spans="1:2">
      <c r="A150" s="2"/>
      <c r="B150" s="3"/>
    </row>
    <row r="151" spans="1:2">
      <c r="A151" s="2"/>
      <c r="B151" s="3"/>
    </row>
    <row r="152" spans="1:2">
      <c r="A152" s="2"/>
      <c r="B152" s="3"/>
    </row>
    <row r="153" spans="1:2">
      <c r="A153" s="2"/>
      <c r="B153" s="3"/>
    </row>
    <row r="154" spans="1:2">
      <c r="A154" s="2"/>
      <c r="B154" s="3"/>
    </row>
    <row r="155" spans="1:2">
      <c r="A155" s="2"/>
      <c r="B155" s="3"/>
    </row>
    <row r="156" spans="1:2">
      <c r="A156" s="2"/>
      <c r="B156" s="3"/>
    </row>
    <row r="157" spans="1:2">
      <c r="A157" s="2"/>
      <c r="B157" s="3"/>
    </row>
    <row r="158" spans="1:2">
      <c r="A158" s="2"/>
      <c r="B158" s="3"/>
    </row>
    <row r="159" spans="1:2">
      <c r="A159" s="2"/>
      <c r="B159" s="3"/>
    </row>
    <row r="160" spans="1:2">
      <c r="A160" s="2"/>
      <c r="B160" s="3"/>
    </row>
    <row r="161" spans="1:2">
      <c r="A161" s="2"/>
      <c r="B161" s="3"/>
    </row>
    <row r="162" spans="1:2">
      <c r="A162" s="2"/>
      <c r="B162" s="3"/>
    </row>
    <row r="163" spans="1:2">
      <c r="A163" s="2"/>
      <c r="B163" s="3"/>
    </row>
    <row r="164" spans="1:2">
      <c r="A164" s="2"/>
      <c r="B164" s="3"/>
    </row>
    <row r="165" spans="1:2">
      <c r="A165" s="2"/>
      <c r="B165" s="3"/>
    </row>
    <row r="166" spans="1:2">
      <c r="A166" s="2"/>
      <c r="B166" s="3"/>
    </row>
    <row r="167" spans="1:2">
      <c r="A167" s="2"/>
      <c r="B167" s="3"/>
    </row>
    <row r="168" spans="1:2">
      <c r="A168" s="2"/>
      <c r="B168" s="3"/>
    </row>
    <row r="169" spans="1:2">
      <c r="A169" s="2"/>
      <c r="B169" s="3"/>
    </row>
    <row r="170" spans="1:2">
      <c r="A170" s="2"/>
      <c r="B170" s="3"/>
    </row>
  </sheetData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W15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7" sqref="D27:D28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34.42578125" style="11" customWidth="1"/>
    <col min="5" max="5" width="51" style="136" customWidth="1"/>
    <col min="6" max="6" width="22.7109375" style="11" customWidth="1"/>
    <col min="7" max="7" width="15.7109375" style="11" customWidth="1"/>
    <col min="8" max="8" width="14.7109375" style="11" customWidth="1"/>
    <col min="9" max="9" width="12.5703125" style="11" customWidth="1"/>
    <col min="10" max="10" width="13.42578125" style="11" customWidth="1"/>
    <col min="11" max="11" width="13.140625" style="11" customWidth="1"/>
    <col min="12" max="12" width="13.42578125" style="11" hidden="1" customWidth="1"/>
    <col min="13" max="13" width="13.28515625" style="11" hidden="1" customWidth="1"/>
    <col min="14" max="14" width="13.42578125" style="11" hidden="1" customWidth="1"/>
    <col min="15" max="15" width="10.7109375" style="11" hidden="1" customWidth="1"/>
    <col min="16" max="16" width="13.42578125" style="11" hidden="1" customWidth="1"/>
    <col min="17" max="17" width="9.7109375" style="11" hidden="1" customWidth="1"/>
    <col min="18" max="18" width="13.140625" style="11" hidden="1" customWidth="1"/>
    <col min="19" max="19" width="12.140625" style="11" hidden="1" customWidth="1"/>
    <col min="20" max="20" width="11.42578125" style="11" customWidth="1"/>
    <col min="21" max="21" width="6.140625" style="11" customWidth="1"/>
    <col min="22" max="22" width="9.7109375" style="11" customWidth="1"/>
    <col min="23" max="23" width="7.140625" style="11" customWidth="1"/>
    <col min="24" max="24" width="11.28515625" style="11" customWidth="1"/>
    <col min="25" max="25" width="9.42578125" style="11" customWidth="1"/>
    <col min="26" max="26" width="10.5703125" style="11" customWidth="1"/>
    <col min="27" max="28" width="8.42578125" style="11" customWidth="1"/>
    <col min="29" max="29" width="12.5703125" style="11" customWidth="1"/>
    <col min="30" max="30" width="7.7109375" style="11" customWidth="1"/>
    <col min="31" max="31" width="10.28515625" style="11" customWidth="1"/>
    <col min="32" max="32" width="15.5703125" style="11" customWidth="1"/>
    <col min="33" max="33" width="9.5703125" style="11" customWidth="1"/>
    <col min="34" max="34" width="10.5703125" style="11" customWidth="1"/>
    <col min="35" max="35" width="6.140625" style="11" customWidth="1"/>
    <col min="36" max="37" width="9.28515625" style="11" customWidth="1"/>
    <col min="38" max="38" width="14.140625" style="11" customWidth="1"/>
    <col min="39" max="39" width="11" style="11" customWidth="1"/>
    <col min="40" max="40" width="9.140625" style="11" customWidth="1"/>
    <col min="41" max="41" width="13" style="11" customWidth="1"/>
    <col min="42" max="42" width="9.140625" style="11" customWidth="1"/>
    <col min="43" max="43" width="14.85546875" style="11" customWidth="1"/>
    <col min="44" max="44" width="17.140625" style="11" customWidth="1"/>
    <col min="45" max="45" width="11.5703125" style="11" bestFit="1" customWidth="1"/>
    <col min="46" max="46" width="11.140625" style="11" bestFit="1" customWidth="1"/>
    <col min="47" max="47" width="11.42578125" style="11" bestFit="1" customWidth="1"/>
    <col min="48" max="48" width="8.28515625" style="11" bestFit="1" customWidth="1"/>
    <col min="49" max="49" width="11.42578125" style="11" bestFit="1" customWidth="1"/>
    <col min="50" max="50" width="8.85546875" style="11" bestFit="1" customWidth="1"/>
    <col min="51" max="51" width="7" style="11" bestFit="1" customWidth="1"/>
    <col min="52" max="52" width="17.85546875" style="11" customWidth="1"/>
    <col min="53" max="53" width="6.85546875" style="11" bestFit="1" customWidth="1"/>
    <col min="54" max="54" width="6.7109375" style="11" customWidth="1"/>
    <col min="55" max="55" width="7.5703125" style="11" bestFit="1" customWidth="1"/>
    <col min="56" max="56" width="7" style="11" bestFit="1" customWidth="1"/>
    <col min="57" max="57" width="20.140625" style="11" bestFit="1" customWidth="1"/>
    <col min="58" max="58" width="6.85546875" style="11" bestFit="1" customWidth="1"/>
    <col min="59" max="59" width="5.5703125" style="11" bestFit="1" customWidth="1"/>
    <col min="60" max="60" width="7.5703125" style="11" bestFit="1" customWidth="1"/>
    <col min="61" max="61" width="17.85546875" style="11" customWidth="1"/>
    <col min="62" max="62" width="10.42578125" style="11" bestFit="1" customWidth="1"/>
    <col min="63" max="63" width="12" style="11" bestFit="1" customWidth="1"/>
    <col min="64" max="65" width="14.42578125" style="11" bestFit="1" customWidth="1"/>
    <col min="66" max="66" width="13.28515625" style="11" bestFit="1" customWidth="1"/>
    <col min="67" max="67" width="16.28515625" style="11" bestFit="1" customWidth="1"/>
    <col min="68" max="68" width="22.28515625" style="11" customWidth="1"/>
    <col min="69" max="69" width="12.140625" style="11" hidden="1" customWidth="1"/>
    <col min="70" max="70" width="15.42578125" style="11" hidden="1" customWidth="1"/>
    <col min="71" max="71" width="12.42578125" style="11" hidden="1" customWidth="1"/>
    <col min="72" max="16384" width="9.140625" style="11"/>
  </cols>
  <sheetData>
    <row r="2" spans="1:75" ht="23.25">
      <c r="E2" s="9" t="s">
        <v>578</v>
      </c>
      <c r="G2" s="9"/>
      <c r="H2" s="10"/>
    </row>
    <row r="3" spans="1:75" ht="20.25">
      <c r="E3" s="242">
        <v>41815</v>
      </c>
    </row>
    <row r="4" spans="1:75" ht="15.75" customHeight="1">
      <c r="D4" s="137" t="s">
        <v>17</v>
      </c>
      <c r="F4" s="330"/>
      <c r="G4" s="330"/>
      <c r="H4" s="331" t="s">
        <v>15</v>
      </c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90" t="s">
        <v>16</v>
      </c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1" t="s">
        <v>703</v>
      </c>
      <c r="AP4" s="391"/>
      <c r="AQ4" s="392" t="s">
        <v>19</v>
      </c>
      <c r="AR4" s="392"/>
      <c r="AS4" s="394" t="s">
        <v>1523</v>
      </c>
      <c r="AT4" s="394"/>
      <c r="AU4" s="394"/>
      <c r="AV4" s="394"/>
      <c r="AW4" s="394"/>
      <c r="AX4" s="394"/>
      <c r="AY4" s="393" t="s">
        <v>22</v>
      </c>
      <c r="AZ4" s="393"/>
      <c r="BA4" s="393"/>
      <c r="BB4" s="393"/>
      <c r="BC4" s="393"/>
      <c r="BD4" s="398" t="s">
        <v>28</v>
      </c>
      <c r="BE4" s="398"/>
      <c r="BF4" s="398"/>
      <c r="BG4" s="398"/>
      <c r="BH4" s="398"/>
      <c r="BI4" s="389" t="s">
        <v>34</v>
      </c>
      <c r="BJ4" s="389"/>
      <c r="BK4" s="389"/>
      <c r="BL4" s="389"/>
      <c r="BM4" s="389"/>
      <c r="BN4" s="389"/>
      <c r="BO4" s="389"/>
      <c r="BP4" s="389"/>
    </row>
    <row r="5" spans="1:75">
      <c r="B5" s="139" t="s">
        <v>0</v>
      </c>
      <c r="C5" s="150" t="s">
        <v>658</v>
      </c>
      <c r="D5" s="139" t="s">
        <v>2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738</v>
      </c>
      <c r="AL5" s="32" t="s">
        <v>39</v>
      </c>
      <c r="AM5" s="32" t="s">
        <v>40</v>
      </c>
      <c r="AN5" s="32" t="s">
        <v>13</v>
      </c>
      <c r="AO5" s="37" t="s">
        <v>20</v>
      </c>
      <c r="AP5" s="37" t="s">
        <v>21</v>
      </c>
      <c r="AQ5" s="33" t="s">
        <v>18</v>
      </c>
      <c r="AR5" s="33" t="s">
        <v>55</v>
      </c>
      <c r="AS5" s="360" t="s">
        <v>23</v>
      </c>
      <c r="AT5" s="360" t="s">
        <v>24</v>
      </c>
      <c r="AU5" s="360" t="s">
        <v>25</v>
      </c>
      <c r="AV5" s="360" t="s">
        <v>1524</v>
      </c>
      <c r="AW5" s="360" t="s">
        <v>25</v>
      </c>
      <c r="AX5" s="360" t="s">
        <v>1525</v>
      </c>
      <c r="AY5" s="35" t="s">
        <v>23</v>
      </c>
      <c r="AZ5" s="35" t="s">
        <v>24</v>
      </c>
      <c r="BA5" s="35" t="s">
        <v>25</v>
      </c>
      <c r="BB5" s="35" t="s">
        <v>26</v>
      </c>
      <c r="BC5" s="35" t="s">
        <v>27</v>
      </c>
      <c r="BD5" s="36" t="s">
        <v>23</v>
      </c>
      <c r="BE5" s="36" t="s">
        <v>24</v>
      </c>
      <c r="BF5" s="36" t="s">
        <v>25</v>
      </c>
      <c r="BG5" s="36" t="s">
        <v>26</v>
      </c>
      <c r="BH5" s="36" t="s">
        <v>27</v>
      </c>
      <c r="BI5" s="37" t="s">
        <v>45</v>
      </c>
      <c r="BJ5" s="38" t="s">
        <v>29</v>
      </c>
      <c r="BK5" s="38" t="s">
        <v>30</v>
      </c>
      <c r="BL5" s="38" t="s">
        <v>31</v>
      </c>
      <c r="BM5" s="38" t="s">
        <v>32</v>
      </c>
      <c r="BN5" s="38" t="s">
        <v>33</v>
      </c>
      <c r="BO5" s="38" t="s">
        <v>35</v>
      </c>
      <c r="BP5" s="38" t="s">
        <v>44</v>
      </c>
      <c r="BQ5" s="38" t="s">
        <v>41</v>
      </c>
      <c r="BR5" s="38" t="s">
        <v>42</v>
      </c>
      <c r="BS5" s="38" t="s">
        <v>43</v>
      </c>
    </row>
    <row r="6" spans="1:75" s="4" customFormat="1" ht="30">
      <c r="A6" s="361"/>
      <c r="B6" s="257" t="s">
        <v>1443</v>
      </c>
      <c r="C6" s="257" t="s">
        <v>541</v>
      </c>
      <c r="D6" s="329" t="s">
        <v>1575</v>
      </c>
      <c r="E6" s="316" t="s">
        <v>1576</v>
      </c>
      <c r="F6" s="257" t="s">
        <v>1577</v>
      </c>
      <c r="G6" s="257" t="s">
        <v>1578</v>
      </c>
      <c r="H6" s="257"/>
      <c r="I6" s="257"/>
      <c r="J6" s="182"/>
      <c r="K6" s="184"/>
      <c r="L6" s="344"/>
      <c r="M6" s="344"/>
      <c r="N6" s="344"/>
      <c r="O6" s="344"/>
      <c r="P6" s="344"/>
      <c r="Q6" s="344"/>
      <c r="R6" s="344"/>
      <c r="S6" s="344"/>
      <c r="T6" s="182" t="s">
        <v>1579</v>
      </c>
      <c r="U6" s="342"/>
      <c r="V6" s="182">
        <v>85435</v>
      </c>
      <c r="W6" s="342"/>
      <c r="X6" s="182" t="s">
        <v>1580</v>
      </c>
      <c r="Y6" s="342"/>
      <c r="Z6" s="182"/>
      <c r="AA6" s="182" t="s">
        <v>1581</v>
      </c>
      <c r="AB6" s="257" t="s">
        <v>1582</v>
      </c>
      <c r="AC6" s="257"/>
      <c r="AD6" s="257"/>
      <c r="AE6" s="257"/>
      <c r="AF6" s="257"/>
      <c r="AG6" s="257"/>
      <c r="AH6" s="257"/>
      <c r="AI6" s="176">
        <v>1435</v>
      </c>
      <c r="AJ6" s="257"/>
      <c r="AK6" s="257"/>
      <c r="AL6" s="257"/>
      <c r="AM6" s="257"/>
      <c r="AN6" s="182" t="s">
        <v>1583</v>
      </c>
      <c r="AO6" s="258">
        <v>26.68</v>
      </c>
      <c r="AP6" s="175">
        <f>AO6/0.444</f>
        <v>60.090090090090087</v>
      </c>
      <c r="AQ6" s="378" t="s">
        <v>1444</v>
      </c>
      <c r="AR6" s="378" t="s">
        <v>1445</v>
      </c>
      <c r="AS6" s="378"/>
      <c r="AT6" s="378"/>
      <c r="AU6" s="378"/>
      <c r="AV6" s="378"/>
      <c r="AW6" s="378"/>
      <c r="AX6" s="378"/>
      <c r="AY6" s="363">
        <v>3.4224999999999999</v>
      </c>
      <c r="AZ6" s="363">
        <v>3.423</v>
      </c>
      <c r="BA6" s="363">
        <v>5.9074999999999998</v>
      </c>
      <c r="BB6" s="364">
        <f>(BA6*AZ6*AY6)/1728</f>
        <v>4.0050721864149305E-2</v>
      </c>
      <c r="BC6" s="363">
        <v>0.9</v>
      </c>
      <c r="BD6" s="363">
        <v>12.875</v>
      </c>
      <c r="BE6" s="363">
        <v>9.75</v>
      </c>
      <c r="BF6" s="363">
        <v>5.4375</v>
      </c>
      <c r="BG6" s="364">
        <f t="shared" ref="BG6:BG13" si="0">(BF6*BE6*BD6)/1728</f>
        <v>0.39500935872395831</v>
      </c>
      <c r="BH6" s="363">
        <f>BC6*BJ6+0.25</f>
        <v>11.05</v>
      </c>
      <c r="BI6" s="365" t="s">
        <v>68</v>
      </c>
      <c r="BJ6" s="366">
        <v>12</v>
      </c>
      <c r="BK6" s="366">
        <v>14</v>
      </c>
      <c r="BL6" s="366">
        <v>6</v>
      </c>
      <c r="BM6" s="366">
        <f t="shared" ref="BM6:BM13" si="1">BJ6*BK6*BL6</f>
        <v>1008</v>
      </c>
      <c r="BN6" s="366">
        <f t="shared" ref="BN6:BN11" si="2">(BH6*BK6*BL6)+50</f>
        <v>978.2</v>
      </c>
      <c r="BO6" s="379" t="s">
        <v>65</v>
      </c>
      <c r="BP6" s="366" t="s">
        <v>107</v>
      </c>
      <c r="BQ6" s="367"/>
      <c r="BR6" s="367"/>
      <c r="BS6" s="367"/>
    </row>
    <row r="7" spans="1:75" s="4" customFormat="1" ht="30">
      <c r="A7" s="361"/>
      <c r="B7" s="362" t="s">
        <v>1584</v>
      </c>
      <c r="C7" s="257" t="s">
        <v>541</v>
      </c>
      <c r="D7" s="329" t="s">
        <v>1575</v>
      </c>
      <c r="E7" s="316" t="s">
        <v>1585</v>
      </c>
      <c r="F7" s="257" t="s">
        <v>83</v>
      </c>
      <c r="G7" s="257" t="s">
        <v>1586</v>
      </c>
      <c r="H7" s="257"/>
      <c r="I7" s="257"/>
      <c r="J7" s="182"/>
      <c r="K7" s="184"/>
      <c r="L7" s="344"/>
      <c r="M7" s="344"/>
      <c r="N7" s="344"/>
      <c r="O7" s="344"/>
      <c r="P7" s="344"/>
      <c r="Q7" s="344"/>
      <c r="R7" s="344"/>
      <c r="S7" s="344"/>
      <c r="T7" s="182" t="s">
        <v>1587</v>
      </c>
      <c r="U7" s="342"/>
      <c r="V7" s="182"/>
      <c r="W7" s="342"/>
      <c r="X7" s="182" t="s">
        <v>1588</v>
      </c>
      <c r="Y7" s="342"/>
      <c r="Z7" s="182"/>
      <c r="AA7" s="182"/>
      <c r="AB7" s="257"/>
      <c r="AC7" s="257"/>
      <c r="AD7" s="257"/>
      <c r="AE7" s="257"/>
      <c r="AF7" s="257"/>
      <c r="AG7" s="257"/>
      <c r="AH7" s="257"/>
      <c r="AI7" s="176"/>
      <c r="AJ7" s="257"/>
      <c r="AK7" s="257"/>
      <c r="AL7" s="257"/>
      <c r="AM7" s="257"/>
      <c r="AN7" s="182">
        <v>57163</v>
      </c>
      <c r="AO7" s="176">
        <v>113.17</v>
      </c>
      <c r="AP7" s="175">
        <f>AO7/0.444</f>
        <v>254.88738738738738</v>
      </c>
      <c r="AQ7" s="378" t="s">
        <v>1589</v>
      </c>
      <c r="AR7" s="378" t="s">
        <v>1590</v>
      </c>
      <c r="AS7" s="380"/>
      <c r="AT7" s="380"/>
      <c r="AU7" s="380"/>
      <c r="AV7" s="381">
        <v>4.71</v>
      </c>
      <c r="AW7" s="381">
        <v>14.12</v>
      </c>
      <c r="AX7" s="381" t="s">
        <v>1591</v>
      </c>
      <c r="AY7" s="363">
        <v>5.0270000000000001</v>
      </c>
      <c r="AZ7" s="363">
        <v>5.0629999999999997</v>
      </c>
      <c r="BA7" s="363">
        <v>14.5</v>
      </c>
      <c r="BB7" s="364">
        <f t="shared" ref="BB7" si="3">(BA7*AZ7*AY7)/1728</f>
        <v>0.21357040769675925</v>
      </c>
      <c r="BC7" s="363">
        <v>5.2</v>
      </c>
      <c r="BD7" s="363">
        <v>16.493500000000001</v>
      </c>
      <c r="BE7" s="363">
        <v>11.118499999999999</v>
      </c>
      <c r="BF7" s="363">
        <v>15.612</v>
      </c>
      <c r="BG7" s="364">
        <f t="shared" si="0"/>
        <v>1.6568142823246528</v>
      </c>
      <c r="BH7" s="363">
        <f>BJ7*BC7+0.25</f>
        <v>31.450000000000003</v>
      </c>
      <c r="BI7" s="365" t="s">
        <v>68</v>
      </c>
      <c r="BJ7" s="366">
        <v>6</v>
      </c>
      <c r="BK7" s="366">
        <v>9</v>
      </c>
      <c r="BL7" s="366">
        <v>2</v>
      </c>
      <c r="BM7" s="366">
        <f t="shared" si="1"/>
        <v>108</v>
      </c>
      <c r="BN7" s="366">
        <f t="shared" si="2"/>
        <v>616.1</v>
      </c>
      <c r="BO7" s="366" t="s">
        <v>65</v>
      </c>
      <c r="BP7" s="366" t="s">
        <v>107</v>
      </c>
      <c r="BQ7" s="367"/>
      <c r="BR7" s="367"/>
      <c r="BS7" s="367"/>
    </row>
    <row r="8" spans="1:75" s="4" customFormat="1">
      <c r="A8" s="361"/>
      <c r="B8" s="362" t="s">
        <v>1446</v>
      </c>
      <c r="C8" s="257" t="s">
        <v>541</v>
      </c>
      <c r="D8" s="362" t="s">
        <v>1311</v>
      </c>
      <c r="E8" s="316" t="s">
        <v>1592</v>
      </c>
      <c r="F8" s="257" t="s">
        <v>907</v>
      </c>
      <c r="G8" s="257">
        <v>4771302</v>
      </c>
      <c r="H8" s="257"/>
      <c r="I8" s="257"/>
      <c r="J8" s="182"/>
      <c r="K8" s="184"/>
      <c r="L8" s="344"/>
      <c r="M8" s="344"/>
      <c r="N8" s="344"/>
      <c r="O8" s="344"/>
      <c r="P8" s="344"/>
      <c r="Q8" s="344"/>
      <c r="R8" s="344"/>
      <c r="S8" s="344"/>
      <c r="T8" s="342" t="s">
        <v>1593</v>
      </c>
      <c r="U8" s="342"/>
      <c r="V8" s="182"/>
      <c r="W8" s="342"/>
      <c r="X8" s="182"/>
      <c r="Y8" s="342"/>
      <c r="Z8" s="182"/>
      <c r="AA8" s="177"/>
      <c r="AB8" s="257"/>
      <c r="AC8" s="257"/>
      <c r="AD8" s="257"/>
      <c r="AE8" s="257"/>
      <c r="AF8" s="257"/>
      <c r="AG8" s="257"/>
      <c r="AH8" s="257"/>
      <c r="AI8" s="176"/>
      <c r="AJ8" s="257"/>
      <c r="AK8" s="257"/>
      <c r="AL8" s="257"/>
      <c r="AM8" s="257"/>
      <c r="AN8" s="257">
        <v>33683</v>
      </c>
      <c r="AO8" s="258">
        <v>75.989999999999995</v>
      </c>
      <c r="AP8" s="175">
        <f t="shared" ref="AP8:AP13" si="4">AO8/0.444</f>
        <v>171.14864864864865</v>
      </c>
      <c r="AQ8" s="378" t="s">
        <v>1447</v>
      </c>
      <c r="AR8" s="378" t="s">
        <v>1448</v>
      </c>
      <c r="AS8" s="378"/>
      <c r="AT8" s="378"/>
      <c r="AU8" s="378"/>
      <c r="AV8" s="378"/>
      <c r="AW8" s="378"/>
      <c r="AX8" s="378"/>
      <c r="AY8" s="363">
        <v>4.6875</v>
      </c>
      <c r="AZ8" s="363">
        <v>4.6875</v>
      </c>
      <c r="BA8" s="363">
        <v>9.5</v>
      </c>
      <c r="BB8" s="364">
        <f>(BA8*AZ8*AY8)/1728</f>
        <v>0.12079874674479167</v>
      </c>
      <c r="BC8" s="363">
        <f>2.92+0.1</f>
        <v>3.02</v>
      </c>
      <c r="BD8" s="363">
        <v>14.805999999999999</v>
      </c>
      <c r="BE8" s="363">
        <v>10.055999999999999</v>
      </c>
      <c r="BF8" s="363">
        <v>10.362</v>
      </c>
      <c r="BG8" s="364">
        <f t="shared" si="0"/>
        <v>0.89281783983333318</v>
      </c>
      <c r="BH8" s="363">
        <f>BC8*BJ8+0.25</f>
        <v>18.37</v>
      </c>
      <c r="BI8" s="365"/>
      <c r="BJ8" s="366">
        <v>6</v>
      </c>
      <c r="BK8" s="366">
        <v>12</v>
      </c>
      <c r="BL8" s="366">
        <v>4</v>
      </c>
      <c r="BM8" s="366">
        <f t="shared" si="1"/>
        <v>288</v>
      </c>
      <c r="BN8" s="366">
        <f t="shared" si="2"/>
        <v>931.76</v>
      </c>
      <c r="BO8" s="379" t="s">
        <v>240</v>
      </c>
      <c r="BP8" s="366" t="s">
        <v>107</v>
      </c>
      <c r="BQ8" s="350"/>
      <c r="BR8" s="368"/>
      <c r="BS8" s="368"/>
      <c r="BT8" s="368"/>
      <c r="BU8" s="368"/>
      <c r="BV8" s="368"/>
      <c r="BW8" s="368"/>
    </row>
    <row r="9" spans="1:75" s="4" customFormat="1" ht="30">
      <c r="A9" s="361"/>
      <c r="B9" s="362" t="s">
        <v>1449</v>
      </c>
      <c r="C9" s="257" t="s">
        <v>541</v>
      </c>
      <c r="D9" s="362" t="s">
        <v>1311</v>
      </c>
      <c r="E9" s="362" t="s">
        <v>1594</v>
      </c>
      <c r="F9" s="257" t="s">
        <v>289</v>
      </c>
      <c r="G9" s="257">
        <v>87803182</v>
      </c>
      <c r="H9" s="167" t="s">
        <v>500</v>
      </c>
      <c r="I9" s="257">
        <v>2830359</v>
      </c>
      <c r="J9" s="182" t="s">
        <v>66</v>
      </c>
      <c r="K9" s="184">
        <v>87803180</v>
      </c>
      <c r="L9" s="344"/>
      <c r="M9" s="344"/>
      <c r="N9" s="344"/>
      <c r="O9" s="344"/>
      <c r="P9" s="344"/>
      <c r="Q9" s="344"/>
      <c r="R9" s="344"/>
      <c r="S9" s="344"/>
      <c r="T9" s="182" t="s">
        <v>1494</v>
      </c>
      <c r="U9" s="342"/>
      <c r="V9" s="182"/>
      <c r="W9" s="342"/>
      <c r="X9" s="182"/>
      <c r="Y9" s="342"/>
      <c r="Z9" s="182" t="s">
        <v>1495</v>
      </c>
      <c r="AA9" s="177"/>
      <c r="AB9" s="257"/>
      <c r="AC9" s="257"/>
      <c r="AD9" s="257"/>
      <c r="AE9" s="257"/>
      <c r="AF9" s="257"/>
      <c r="AG9" s="257"/>
      <c r="AH9" s="257"/>
      <c r="AI9" s="176"/>
      <c r="AJ9" s="257"/>
      <c r="AK9" s="257"/>
      <c r="AL9" s="257"/>
      <c r="AM9" s="257"/>
      <c r="AN9" s="257"/>
      <c r="AO9" s="258">
        <v>22.5</v>
      </c>
      <c r="AP9" s="175">
        <f t="shared" si="4"/>
        <v>50.675675675675677</v>
      </c>
      <c r="AQ9" s="369" t="s">
        <v>1450</v>
      </c>
      <c r="AR9" s="369" t="s">
        <v>1451</v>
      </c>
      <c r="AS9" s="369"/>
      <c r="AT9" s="369"/>
      <c r="AU9" s="369"/>
      <c r="AV9" s="369"/>
      <c r="AW9" s="369"/>
      <c r="AX9" s="369"/>
      <c r="AY9" s="363">
        <v>3.875</v>
      </c>
      <c r="AZ9" s="363">
        <v>3.875</v>
      </c>
      <c r="BA9" s="363">
        <v>7.25</v>
      </c>
      <c r="BB9" s="364">
        <f>(BA9*AZ9*AY9)/1728</f>
        <v>6.2999584056712965E-2</v>
      </c>
      <c r="BC9" s="363">
        <v>1.6</v>
      </c>
      <c r="BD9" s="363">
        <v>15.805999999999999</v>
      </c>
      <c r="BE9" s="363">
        <v>11.805999999999999</v>
      </c>
      <c r="BF9" s="363">
        <v>8.1120000000000001</v>
      </c>
      <c r="BG9" s="364">
        <f t="shared" si="0"/>
        <v>0.87600979122222211</v>
      </c>
      <c r="BH9" s="363">
        <f>BC9*BJ9+0.25</f>
        <v>19.450000000000003</v>
      </c>
      <c r="BI9" s="365" t="s">
        <v>68</v>
      </c>
      <c r="BJ9" s="366">
        <v>12</v>
      </c>
      <c r="BK9" s="366">
        <v>10</v>
      </c>
      <c r="BL9" s="366">
        <v>5</v>
      </c>
      <c r="BM9" s="366">
        <f t="shared" si="1"/>
        <v>600</v>
      </c>
      <c r="BN9" s="366">
        <f t="shared" si="2"/>
        <v>1022.5000000000001</v>
      </c>
      <c r="BO9" s="366" t="s">
        <v>65</v>
      </c>
      <c r="BP9" s="366" t="s">
        <v>107</v>
      </c>
      <c r="BQ9" s="367"/>
      <c r="BR9" s="367"/>
      <c r="BS9" s="367"/>
    </row>
    <row r="10" spans="1:75" s="4" customFormat="1" ht="30">
      <c r="A10" s="361"/>
      <c r="B10" s="382" t="s">
        <v>1452</v>
      </c>
      <c r="C10" s="257" t="s">
        <v>541</v>
      </c>
      <c r="D10" s="382" t="s">
        <v>1307</v>
      </c>
      <c r="E10" s="383" t="s">
        <v>1501</v>
      </c>
      <c r="F10" s="257" t="s">
        <v>94</v>
      </c>
      <c r="G10" s="257" t="s">
        <v>1502</v>
      </c>
      <c r="H10" s="257"/>
      <c r="I10" s="257"/>
      <c r="J10" s="182"/>
      <c r="K10" s="184"/>
      <c r="L10" s="344"/>
      <c r="M10" s="344"/>
      <c r="N10" s="344"/>
      <c r="O10" s="344"/>
      <c r="P10" s="344"/>
      <c r="Q10" s="344"/>
      <c r="R10" s="344"/>
      <c r="S10" s="344"/>
      <c r="T10" s="182" t="s">
        <v>1595</v>
      </c>
      <c r="U10" s="342"/>
      <c r="V10" s="182"/>
      <c r="W10" s="342"/>
      <c r="X10" s="182"/>
      <c r="Y10" s="342"/>
      <c r="Z10" s="182" t="s">
        <v>1504</v>
      </c>
      <c r="AA10" s="177"/>
      <c r="AB10" s="257"/>
      <c r="AC10" s="257"/>
      <c r="AD10" s="257"/>
      <c r="AE10" s="257"/>
      <c r="AF10" s="257"/>
      <c r="AG10" s="257"/>
      <c r="AH10" s="257"/>
      <c r="AI10" s="176"/>
      <c r="AJ10" s="257"/>
      <c r="AK10" s="257"/>
      <c r="AL10" s="257"/>
      <c r="AM10" s="257"/>
      <c r="AN10" s="182" t="s">
        <v>1596</v>
      </c>
      <c r="AO10" s="258">
        <v>47.42</v>
      </c>
      <c r="AP10" s="175">
        <f t="shared" si="4"/>
        <v>106.8018018018018</v>
      </c>
      <c r="AQ10" s="369" t="s">
        <v>1453</v>
      </c>
      <c r="AR10" s="369" t="s">
        <v>1454</v>
      </c>
      <c r="AS10" s="369"/>
      <c r="AT10" s="369"/>
      <c r="AU10" s="369"/>
      <c r="AV10" s="369"/>
      <c r="AW10" s="369"/>
      <c r="AX10" s="369"/>
      <c r="AY10" s="363">
        <v>5.1875</v>
      </c>
      <c r="AZ10" s="363">
        <v>5.1875</v>
      </c>
      <c r="BA10" s="363">
        <v>14.75</v>
      </c>
      <c r="BB10" s="364">
        <f>(BA10*AZ10*AY10)/1728</f>
        <v>0.22970185456452547</v>
      </c>
      <c r="BC10" s="363">
        <v>4.83</v>
      </c>
      <c r="BD10" s="363">
        <v>16.493500000000001</v>
      </c>
      <c r="BE10" s="363">
        <v>11.118499999999999</v>
      </c>
      <c r="BF10" s="363">
        <v>15.612</v>
      </c>
      <c r="BG10" s="364">
        <f t="shared" si="0"/>
        <v>1.6568142823246528</v>
      </c>
      <c r="BH10" s="363">
        <f>BC10*BJ10+0.4</f>
        <v>29.38</v>
      </c>
      <c r="BI10" s="365" t="s">
        <v>68</v>
      </c>
      <c r="BJ10" s="366">
        <v>6</v>
      </c>
      <c r="BK10" s="366">
        <v>9</v>
      </c>
      <c r="BL10" s="366">
        <v>2</v>
      </c>
      <c r="BM10" s="366">
        <f t="shared" si="1"/>
        <v>108</v>
      </c>
      <c r="BN10" s="366">
        <f t="shared" si="2"/>
        <v>578.84</v>
      </c>
      <c r="BO10" s="366" t="s">
        <v>65</v>
      </c>
      <c r="BP10" s="366" t="s">
        <v>107</v>
      </c>
      <c r="BQ10" s="368"/>
      <c r="BR10" s="368"/>
      <c r="BS10" s="367"/>
    </row>
    <row r="11" spans="1:75" s="4" customFormat="1" ht="45">
      <c r="A11" s="361"/>
      <c r="B11" s="362" t="s">
        <v>1455</v>
      </c>
      <c r="C11" s="257" t="s">
        <v>541</v>
      </c>
      <c r="D11" s="329" t="s">
        <v>1456</v>
      </c>
      <c r="E11" s="362" t="s">
        <v>1597</v>
      </c>
      <c r="F11" s="257" t="s">
        <v>282</v>
      </c>
      <c r="G11" s="257">
        <v>19179832</v>
      </c>
      <c r="H11" s="257" t="s">
        <v>1007</v>
      </c>
      <c r="I11" s="257" t="s">
        <v>1472</v>
      </c>
      <c r="J11" s="182"/>
      <c r="K11" s="184"/>
      <c r="L11" s="344"/>
      <c r="M11" s="344"/>
      <c r="N11" s="344"/>
      <c r="O11" s="344"/>
      <c r="P11" s="344"/>
      <c r="Q11" s="344"/>
      <c r="R11" s="344"/>
      <c r="S11" s="344"/>
      <c r="T11" s="182" t="s">
        <v>1598</v>
      </c>
      <c r="U11" s="342"/>
      <c r="V11" s="182"/>
      <c r="W11" s="342"/>
      <c r="X11" s="182"/>
      <c r="Y11" s="342"/>
      <c r="Z11" s="182"/>
      <c r="AA11" s="177"/>
      <c r="AB11" s="257"/>
      <c r="AC11" s="257"/>
      <c r="AD11" s="257"/>
      <c r="AE11" s="257"/>
      <c r="AF11" s="257"/>
      <c r="AG11" s="257"/>
      <c r="AH11" s="257"/>
      <c r="AI11" s="176"/>
      <c r="AJ11" s="257"/>
      <c r="AK11" s="257"/>
      <c r="AL11" s="257"/>
      <c r="AM11" s="257"/>
      <c r="AN11" s="182" t="s">
        <v>1599</v>
      </c>
      <c r="AO11" s="258">
        <v>102.97</v>
      </c>
      <c r="AP11" s="175">
        <f t="shared" si="4"/>
        <v>231.91441441441441</v>
      </c>
      <c r="AQ11" s="369" t="s">
        <v>1457</v>
      </c>
      <c r="AR11" s="369" t="s">
        <v>1458</v>
      </c>
      <c r="AS11" s="369"/>
      <c r="AT11" s="369"/>
      <c r="AU11" s="369"/>
      <c r="AV11" s="369"/>
      <c r="AW11" s="369"/>
      <c r="AX11" s="369"/>
      <c r="AY11" s="399" t="s">
        <v>662</v>
      </c>
      <c r="AZ11" s="399"/>
      <c r="BA11" s="399"/>
      <c r="BB11" s="399"/>
      <c r="BC11" s="399"/>
      <c r="BD11" s="363">
        <v>9.6809999999999992</v>
      </c>
      <c r="BE11" s="363">
        <v>9.6809999999999992</v>
      </c>
      <c r="BF11" s="363">
        <v>20.486999999999998</v>
      </c>
      <c r="BG11" s="364">
        <f t="shared" si="0"/>
        <v>1.1111560865781247</v>
      </c>
      <c r="BH11" s="363">
        <f>3.87+0.25</f>
        <v>4.12</v>
      </c>
      <c r="BI11" s="365" t="s">
        <v>68</v>
      </c>
      <c r="BJ11" s="366">
        <v>1</v>
      </c>
      <c r="BK11" s="366">
        <v>16</v>
      </c>
      <c r="BL11" s="366">
        <v>2</v>
      </c>
      <c r="BM11" s="366">
        <f t="shared" si="1"/>
        <v>32</v>
      </c>
      <c r="BN11" s="366">
        <f t="shared" si="2"/>
        <v>181.84</v>
      </c>
      <c r="BO11" s="366" t="s">
        <v>65</v>
      </c>
      <c r="BP11" s="366" t="s">
        <v>107</v>
      </c>
      <c r="BQ11" s="368"/>
      <c r="BR11" s="367"/>
      <c r="BS11" s="367"/>
    </row>
    <row r="12" spans="1:75" s="4" customFormat="1">
      <c r="A12" s="361"/>
      <c r="B12" s="362" t="s">
        <v>1600</v>
      </c>
      <c r="C12" s="257" t="s">
        <v>541</v>
      </c>
      <c r="D12" s="362" t="s">
        <v>1311</v>
      </c>
      <c r="E12" s="258" t="s">
        <v>1601</v>
      </c>
      <c r="F12" s="257" t="s">
        <v>500</v>
      </c>
      <c r="G12" s="257">
        <v>3685306</v>
      </c>
      <c r="H12" s="257"/>
      <c r="I12" s="257"/>
      <c r="J12" s="182"/>
      <c r="K12" s="184"/>
      <c r="L12" s="344"/>
      <c r="M12" s="344"/>
      <c r="N12" s="344"/>
      <c r="O12" s="344"/>
      <c r="P12" s="344"/>
      <c r="Q12" s="344"/>
      <c r="R12" s="344"/>
      <c r="S12" s="344"/>
      <c r="T12" s="182" t="s">
        <v>1602</v>
      </c>
      <c r="U12" s="342"/>
      <c r="V12" s="182"/>
      <c r="W12" s="342"/>
      <c r="X12" s="182" t="s">
        <v>1603</v>
      </c>
      <c r="Y12" s="342"/>
      <c r="Z12" s="182" t="s">
        <v>1604</v>
      </c>
      <c r="AA12" s="177"/>
      <c r="AB12" s="257"/>
      <c r="AC12" s="257"/>
      <c r="AD12" s="257"/>
      <c r="AE12" s="257"/>
      <c r="AF12" s="257"/>
      <c r="AG12" s="257"/>
      <c r="AH12" s="257"/>
      <c r="AI12" s="176"/>
      <c r="AJ12" s="257"/>
      <c r="AK12" s="257"/>
      <c r="AL12" s="257"/>
      <c r="AM12" s="257"/>
      <c r="AN12" s="182" t="s">
        <v>1605</v>
      </c>
      <c r="AO12" s="258">
        <v>67.849999999999994</v>
      </c>
      <c r="AP12" s="175">
        <f t="shared" si="4"/>
        <v>152.8153153153153</v>
      </c>
      <c r="AQ12" s="378" t="s">
        <v>1606</v>
      </c>
      <c r="AR12" s="378" t="s">
        <v>1607</v>
      </c>
      <c r="AS12" s="380"/>
      <c r="AT12" s="380"/>
      <c r="AU12" s="380"/>
      <c r="AV12" s="381">
        <v>4.6399999999999997</v>
      </c>
      <c r="AW12" s="381">
        <f>11.74+0.23</f>
        <v>11.97</v>
      </c>
      <c r="AX12" s="380"/>
      <c r="AY12" s="400" t="s">
        <v>720</v>
      </c>
      <c r="AZ12" s="401"/>
      <c r="BA12" s="401"/>
      <c r="BB12" s="401"/>
      <c r="BC12" s="402"/>
      <c r="BD12" s="363">
        <v>15.055999999999999</v>
      </c>
      <c r="BE12" s="363">
        <v>10.305999999999999</v>
      </c>
      <c r="BF12" s="363">
        <v>13.362</v>
      </c>
      <c r="BG12" s="364">
        <f t="shared" si="0"/>
        <v>1.199851430111111</v>
      </c>
      <c r="BH12" s="363">
        <v>32.247999999999998</v>
      </c>
      <c r="BI12" s="4" t="s">
        <v>68</v>
      </c>
      <c r="BJ12" s="366">
        <v>6</v>
      </c>
      <c r="BK12" s="366">
        <v>10</v>
      </c>
      <c r="BL12" s="366">
        <v>3</v>
      </c>
      <c r="BM12" s="366">
        <f t="shared" si="1"/>
        <v>180</v>
      </c>
      <c r="BN12" s="366">
        <f>(BG12*BK12*BL12)+50</f>
        <v>85.99554290333333</v>
      </c>
      <c r="BO12" s="366" t="s">
        <v>65</v>
      </c>
      <c r="BP12" s="366" t="s">
        <v>107</v>
      </c>
      <c r="BQ12" s="366">
        <v>10</v>
      </c>
      <c r="BR12" s="366">
        <v>3</v>
      </c>
      <c r="BS12" s="366" t="e">
        <f>#REF!*BQ12*BR12</f>
        <v>#REF!</v>
      </c>
    </row>
    <row r="13" spans="1:75" s="4" customFormat="1" ht="45">
      <c r="A13" s="361"/>
      <c r="B13" s="362" t="s">
        <v>1608</v>
      </c>
      <c r="C13" s="257" t="s">
        <v>541</v>
      </c>
      <c r="D13" s="362" t="s">
        <v>1311</v>
      </c>
      <c r="E13" s="258" t="s">
        <v>1609</v>
      </c>
      <c r="F13" s="257" t="s">
        <v>1610</v>
      </c>
      <c r="G13" s="257" t="s">
        <v>1611</v>
      </c>
      <c r="H13" s="257"/>
      <c r="I13" s="257"/>
      <c r="J13" s="182"/>
      <c r="K13" s="184"/>
      <c r="L13" s="344"/>
      <c r="M13" s="344"/>
      <c r="N13" s="344"/>
      <c r="O13" s="344"/>
      <c r="P13" s="344"/>
      <c r="Q13" s="344"/>
      <c r="R13" s="344"/>
      <c r="S13" s="344"/>
      <c r="T13" s="342" t="s">
        <v>1612</v>
      </c>
      <c r="U13" s="342"/>
      <c r="V13" s="182"/>
      <c r="W13" s="342"/>
      <c r="X13" s="182" t="s">
        <v>1613</v>
      </c>
      <c r="Y13" s="342"/>
      <c r="Z13" s="182" t="s">
        <v>1614</v>
      </c>
      <c r="AA13" s="177"/>
      <c r="AB13" s="257"/>
      <c r="AC13" s="257"/>
      <c r="AD13" s="257"/>
      <c r="AE13" s="257"/>
      <c r="AF13" s="257"/>
      <c r="AG13" s="257"/>
      <c r="AH13" s="257"/>
      <c r="AI13" s="176"/>
      <c r="AJ13" s="257"/>
      <c r="AK13" s="257"/>
      <c r="AL13" s="257"/>
      <c r="AM13" s="257"/>
      <c r="AN13" s="257">
        <v>33822</v>
      </c>
      <c r="AO13" s="258">
        <v>62.81</v>
      </c>
      <c r="AP13" s="175">
        <f t="shared" si="4"/>
        <v>141.46396396396398</v>
      </c>
      <c r="AQ13" s="378" t="s">
        <v>1615</v>
      </c>
      <c r="AR13" s="378" t="s">
        <v>1616</v>
      </c>
      <c r="AS13" s="380"/>
      <c r="AT13" s="380"/>
      <c r="AU13" s="380"/>
      <c r="AV13" s="381">
        <v>3.98</v>
      </c>
      <c r="AW13" s="381">
        <v>10.468999999999999</v>
      </c>
      <c r="AX13" s="380"/>
      <c r="AY13" s="384">
        <v>4.7859999999999996</v>
      </c>
      <c r="AZ13" s="385">
        <v>4.7859999999999996</v>
      </c>
      <c r="BA13" s="385">
        <v>10.692</v>
      </c>
      <c r="BB13" s="364">
        <f t="shared" ref="BB13" si="5">(BA13*AZ13*AY13)/1728</f>
        <v>0.14172961274999998</v>
      </c>
      <c r="BC13" s="386">
        <v>2.65</v>
      </c>
      <c r="BD13" s="363">
        <v>14.75</v>
      </c>
      <c r="BE13" s="363">
        <v>10</v>
      </c>
      <c r="BF13" s="363">
        <v>12.12</v>
      </c>
      <c r="BG13" s="364">
        <f t="shared" si="0"/>
        <v>1.0345486111111111</v>
      </c>
      <c r="BH13" s="363">
        <f>BJ13*BC13+0.25</f>
        <v>16.149999999999999</v>
      </c>
      <c r="BI13" s="365" t="s">
        <v>68</v>
      </c>
      <c r="BJ13" s="366">
        <v>6</v>
      </c>
      <c r="BK13" s="366">
        <v>12</v>
      </c>
      <c r="BL13" s="366">
        <v>3</v>
      </c>
      <c r="BM13" s="366">
        <f t="shared" si="1"/>
        <v>216</v>
      </c>
      <c r="BN13" s="366">
        <f t="shared" ref="BN13" si="6">(BH13*BK13*BL13)+50</f>
        <v>631.4</v>
      </c>
      <c r="BO13" s="366" t="s">
        <v>65</v>
      </c>
      <c r="BP13" s="366" t="s">
        <v>107</v>
      </c>
      <c r="BQ13" s="367"/>
      <c r="BR13" s="367"/>
      <c r="BS13" s="367"/>
    </row>
    <row r="14" spans="1:75">
      <c r="A14" s="244"/>
      <c r="B14" s="334"/>
      <c r="C14" s="167"/>
      <c r="D14" s="328"/>
      <c r="E14" s="337"/>
      <c r="F14" s="167"/>
      <c r="G14" s="167"/>
      <c r="H14" s="167"/>
      <c r="I14" s="167"/>
      <c r="J14" s="182"/>
      <c r="K14" s="184"/>
      <c r="L14" s="344"/>
      <c r="M14" s="344"/>
      <c r="N14" s="344"/>
      <c r="O14" s="344"/>
      <c r="P14" s="344"/>
      <c r="Q14" s="344"/>
      <c r="R14" s="344"/>
      <c r="S14" s="344"/>
      <c r="T14" s="342"/>
      <c r="U14" s="342"/>
      <c r="V14" s="182"/>
      <c r="W14" s="342"/>
      <c r="X14" s="182"/>
      <c r="Y14" s="342"/>
      <c r="Z14" s="182"/>
      <c r="AA14" s="287"/>
      <c r="AB14" s="167"/>
      <c r="AC14" s="167"/>
      <c r="AD14" s="257"/>
      <c r="AE14" s="257"/>
      <c r="AF14" s="167"/>
      <c r="AG14" s="167"/>
      <c r="AH14" s="257"/>
      <c r="AI14" s="176"/>
      <c r="AJ14" s="167"/>
      <c r="AK14" s="167"/>
      <c r="AL14" s="167"/>
      <c r="AM14" s="167"/>
      <c r="AN14" s="257"/>
      <c r="AO14" s="258"/>
      <c r="AP14" s="175"/>
      <c r="AQ14" s="266"/>
      <c r="AR14" s="266"/>
      <c r="AS14" s="266"/>
      <c r="AT14" s="387"/>
      <c r="AU14" s="387"/>
      <c r="AV14" s="266"/>
      <c r="AW14" s="266"/>
      <c r="AX14" s="266"/>
      <c r="AY14" s="371"/>
      <c r="AZ14" s="371"/>
      <c r="BA14" s="371"/>
      <c r="BB14" s="370"/>
      <c r="BC14" s="371"/>
      <c r="BD14" s="371"/>
      <c r="BE14" s="371"/>
      <c r="BF14" s="371"/>
      <c r="BG14" s="370"/>
      <c r="BH14" s="371"/>
      <c r="BI14" s="264"/>
      <c r="BJ14" s="194"/>
      <c r="BK14" s="194"/>
      <c r="BL14" s="194"/>
      <c r="BM14" s="194"/>
      <c r="BN14" s="194"/>
      <c r="BO14" s="194"/>
      <c r="BP14" s="194"/>
      <c r="BQ14" s="38"/>
      <c r="BR14" s="38"/>
      <c r="BS14" s="38"/>
    </row>
    <row r="15" spans="1:75" s="146" customFormat="1">
      <c r="B15" s="142"/>
      <c r="C15" s="142"/>
      <c r="D15" s="142"/>
      <c r="E15" s="142"/>
      <c r="F15" s="142"/>
      <c r="G15" s="89"/>
      <c r="H15" s="11"/>
      <c r="I15" s="11"/>
      <c r="J15" s="11"/>
      <c r="T15" s="11"/>
      <c r="Z15" s="11"/>
      <c r="AA15" s="11"/>
      <c r="AO15" s="143"/>
      <c r="AP15" s="144"/>
      <c r="AQ15" s="11"/>
      <c r="AY15" s="86"/>
      <c r="AZ15" s="86"/>
      <c r="BA15" s="86"/>
      <c r="BB15" s="11"/>
      <c r="BC15" s="86"/>
      <c r="BD15" s="86"/>
      <c r="BE15" s="86"/>
      <c r="BF15" s="86"/>
      <c r="BG15" s="11"/>
      <c r="BH15" s="86"/>
      <c r="BI15" s="11"/>
      <c r="BJ15" s="11"/>
      <c r="BO15" s="11"/>
      <c r="BP15" s="89"/>
    </row>
    <row r="16" spans="1:75" ht="7.5" customHeight="1">
      <c r="B16" s="160"/>
      <c r="C16" s="160"/>
      <c r="D16" s="160"/>
      <c r="E16" s="160"/>
      <c r="F16" s="160"/>
      <c r="G16" s="160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1"/>
      <c r="U16" s="162"/>
      <c r="V16" s="162"/>
      <c r="W16" s="162"/>
      <c r="X16" s="162"/>
      <c r="Y16" s="162"/>
      <c r="Z16" s="161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3"/>
      <c r="AP16" s="164"/>
      <c r="AQ16" s="161"/>
      <c r="AR16" s="162"/>
      <c r="AS16" s="162"/>
      <c r="AT16" s="162"/>
      <c r="AU16" s="162"/>
      <c r="AV16" s="162"/>
      <c r="AW16" s="162"/>
      <c r="AX16" s="162"/>
      <c r="AY16" s="165"/>
      <c r="AZ16" s="165"/>
      <c r="BA16" s="165"/>
      <c r="BB16" s="161"/>
      <c r="BC16" s="165"/>
      <c r="BD16" s="165"/>
      <c r="BE16" s="165"/>
      <c r="BF16" s="165"/>
      <c r="BG16" s="161"/>
      <c r="BH16" s="165"/>
      <c r="BI16" s="161"/>
      <c r="BJ16" s="161"/>
      <c r="BK16" s="162"/>
      <c r="BL16" s="162"/>
      <c r="BM16" s="162"/>
      <c r="BN16" s="162"/>
      <c r="BO16" s="161"/>
      <c r="BP16" s="166"/>
      <c r="BQ16" s="162"/>
      <c r="BR16" s="146"/>
      <c r="BS16" s="146"/>
    </row>
    <row r="17" spans="2:71" ht="7.5" customHeight="1">
      <c r="B17" s="142"/>
      <c r="C17" s="142"/>
      <c r="D17" s="142"/>
      <c r="E17" s="142"/>
      <c r="F17" s="142"/>
      <c r="G17" s="142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U17" s="146"/>
      <c r="V17" s="146"/>
      <c r="W17" s="146"/>
      <c r="X17" s="146"/>
      <c r="Y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3"/>
      <c r="AP17" s="144"/>
      <c r="AR17" s="146"/>
      <c r="AS17" s="146"/>
      <c r="AT17" s="146"/>
      <c r="AU17" s="146"/>
      <c r="AV17" s="146"/>
      <c r="AW17" s="146"/>
      <c r="AX17" s="146"/>
      <c r="AY17" s="86"/>
      <c r="AZ17" s="86"/>
      <c r="BA17" s="86"/>
      <c r="BC17" s="86"/>
      <c r="BD17" s="86"/>
      <c r="BE17" s="86"/>
      <c r="BF17" s="86"/>
      <c r="BH17" s="86"/>
      <c r="BK17" s="146"/>
      <c r="BL17" s="146"/>
      <c r="BM17" s="146"/>
      <c r="BN17" s="146"/>
      <c r="BP17" s="89"/>
      <c r="BQ17" s="146"/>
      <c r="BR17" s="146"/>
      <c r="BS17" s="146"/>
    </row>
    <row r="18" spans="2:71" ht="23.25">
      <c r="B18" s="142"/>
      <c r="C18" s="142"/>
      <c r="D18" s="142"/>
      <c r="E18" s="159" t="s">
        <v>542</v>
      </c>
      <c r="G18" s="142"/>
      <c r="U18" s="146"/>
      <c r="V18" s="146"/>
      <c r="W18" s="146"/>
      <c r="Y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3"/>
      <c r="AP18" s="144"/>
      <c r="AR18" s="146"/>
      <c r="AS18" s="146"/>
      <c r="AT18" s="146"/>
      <c r="AU18" s="146"/>
      <c r="AV18" s="146"/>
      <c r="AW18" s="146"/>
      <c r="AX18" s="146"/>
      <c r="AY18" s="86"/>
      <c r="AZ18" s="86"/>
      <c r="BA18" s="86"/>
      <c r="BC18" s="86"/>
      <c r="BD18" s="86"/>
      <c r="BE18" s="86"/>
      <c r="BF18" s="86"/>
      <c r="BH18" s="86"/>
      <c r="BK18" s="146"/>
      <c r="BL18" s="146"/>
      <c r="BM18" s="146"/>
      <c r="BN18" s="146"/>
      <c r="BP18" s="89"/>
      <c r="BQ18" s="146"/>
      <c r="BR18" s="146"/>
      <c r="BS18" s="146"/>
    </row>
    <row r="19" spans="2:71" s="146" customFormat="1">
      <c r="B19" s="142"/>
      <c r="C19" s="142"/>
      <c r="D19" s="142"/>
      <c r="E19" s="142"/>
      <c r="F19" s="142"/>
      <c r="G19" s="14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43"/>
      <c r="AP19" s="144"/>
      <c r="AQ19" s="11"/>
      <c r="AR19" s="11"/>
      <c r="AS19" s="11"/>
      <c r="AT19" s="11"/>
      <c r="AU19" s="11"/>
      <c r="AV19" s="11"/>
      <c r="AW19" s="11"/>
      <c r="AX19" s="11"/>
      <c r="AY19" s="86"/>
      <c r="AZ19" s="86"/>
      <c r="BA19" s="86"/>
      <c r="BB19" s="11"/>
      <c r="BC19" s="86"/>
      <c r="BD19" s="86"/>
      <c r="BE19" s="86"/>
      <c r="BF19" s="86"/>
      <c r="BG19" s="11"/>
      <c r="BH19" s="86"/>
      <c r="BI19" s="11"/>
      <c r="BJ19" s="11"/>
      <c r="BK19" s="11"/>
      <c r="BL19" s="11"/>
      <c r="BO19" s="11"/>
      <c r="BP19" s="89"/>
      <c r="BQ19" s="11"/>
      <c r="BR19" s="11"/>
      <c r="BS19" s="11"/>
    </row>
    <row r="20" spans="2:71">
      <c r="B20" s="142"/>
      <c r="C20" s="142"/>
      <c r="D20" s="142"/>
      <c r="E20" s="30" t="s">
        <v>543</v>
      </c>
      <c r="F20" s="32" t="s">
        <v>1306</v>
      </c>
      <c r="G20" s="32" t="s">
        <v>544</v>
      </c>
      <c r="AO20" s="143"/>
      <c r="AP20" s="144"/>
      <c r="AY20" s="86"/>
      <c r="AZ20" s="86"/>
      <c r="BA20" s="86"/>
      <c r="BC20" s="86"/>
      <c r="BD20" s="86"/>
      <c r="BE20" s="86"/>
      <c r="BF20" s="86"/>
      <c r="BH20" s="86"/>
      <c r="BM20" s="146"/>
      <c r="BN20" s="146"/>
      <c r="BP20" s="89"/>
    </row>
    <row r="21" spans="2:71">
      <c r="B21" s="151"/>
      <c r="C21" s="151"/>
      <c r="D21" s="207"/>
      <c r="E21" s="269"/>
      <c r="F21" s="258"/>
      <c r="G21" s="258"/>
      <c r="AO21" s="143"/>
      <c r="AP21" s="144"/>
      <c r="AY21" s="86"/>
      <c r="AZ21" s="86"/>
      <c r="BA21" s="86"/>
      <c r="BC21" s="86"/>
      <c r="BD21" s="86"/>
      <c r="BE21" s="86"/>
      <c r="BF21" s="86"/>
      <c r="BH21" s="86"/>
      <c r="BM21" s="146"/>
      <c r="BN21" s="146"/>
      <c r="BP21" s="89"/>
    </row>
    <row r="22" spans="2:71">
      <c r="B22" s="151"/>
      <c r="C22" s="151"/>
      <c r="D22" s="207"/>
      <c r="E22" s="269"/>
      <c r="F22" s="258"/>
      <c r="G22" s="258"/>
      <c r="AO22" s="143"/>
      <c r="AP22" s="144"/>
      <c r="AY22" s="86"/>
      <c r="AZ22" s="86"/>
      <c r="BA22" s="86"/>
      <c r="BC22" s="86"/>
      <c r="BD22" s="86"/>
      <c r="BE22" s="86"/>
      <c r="BF22" s="86"/>
      <c r="BH22" s="86"/>
      <c r="BM22" s="146"/>
      <c r="BN22" s="146"/>
      <c r="BP22" s="89"/>
    </row>
    <row r="23" spans="2:71">
      <c r="B23" s="151"/>
      <c r="C23" s="151"/>
      <c r="D23" s="151"/>
      <c r="E23" s="269"/>
      <c r="F23" s="258"/>
      <c r="G23" s="258"/>
      <c r="AO23" s="143"/>
      <c r="AP23" s="144"/>
      <c r="AY23" s="86"/>
      <c r="AZ23" s="86"/>
      <c r="BA23" s="86"/>
      <c r="BC23" s="86"/>
      <c r="BD23" s="86"/>
      <c r="BE23" s="86"/>
      <c r="BF23" s="86"/>
      <c r="BH23" s="86"/>
      <c r="BM23" s="146"/>
      <c r="BN23" s="146"/>
      <c r="BP23" s="89"/>
    </row>
    <row r="24" spans="2:71">
      <c r="B24" s="151"/>
      <c r="C24" s="151"/>
      <c r="D24" s="151"/>
      <c r="E24" s="269"/>
      <c r="F24" s="258"/>
      <c r="G24" s="258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U24" s="146"/>
      <c r="V24" s="146"/>
      <c r="W24" s="146"/>
      <c r="X24" s="146"/>
      <c r="Y24" s="146"/>
      <c r="AD24" s="146"/>
      <c r="AE24" s="146"/>
      <c r="AF24" s="146"/>
      <c r="AG24" s="146"/>
      <c r="AH24" s="146"/>
      <c r="AI24" s="146"/>
      <c r="AL24" s="146"/>
      <c r="AM24" s="146"/>
      <c r="AN24" s="146"/>
      <c r="AO24" s="143"/>
      <c r="AP24" s="144"/>
      <c r="AR24" s="146"/>
      <c r="AS24" s="146"/>
      <c r="AT24" s="146"/>
      <c r="AU24" s="146"/>
      <c r="AV24" s="146"/>
      <c r="AW24" s="146"/>
      <c r="AX24" s="146"/>
      <c r="AY24" s="86"/>
      <c r="AZ24" s="86"/>
      <c r="BA24" s="86"/>
      <c r="BC24" s="86"/>
      <c r="BD24" s="86"/>
      <c r="BE24" s="86"/>
      <c r="BF24" s="86"/>
      <c r="BH24" s="86"/>
      <c r="BK24" s="146"/>
      <c r="BL24" s="146"/>
      <c r="BM24" s="146"/>
      <c r="BN24" s="146"/>
      <c r="BP24" s="89"/>
      <c r="BQ24" s="146"/>
      <c r="BR24" s="146"/>
      <c r="BS24" s="146"/>
    </row>
    <row r="25" spans="2:71">
      <c r="B25" s="142"/>
      <c r="C25" s="142"/>
      <c r="D25" s="142"/>
      <c r="E25" s="142"/>
      <c r="F25" s="142"/>
      <c r="G25" s="142"/>
      <c r="AP25" s="144"/>
      <c r="AQ25" s="146"/>
      <c r="BN25" s="146"/>
      <c r="BP25" s="89"/>
    </row>
    <row r="26" spans="2:71" ht="7.5" customHeight="1">
      <c r="B26" s="160"/>
      <c r="C26" s="160"/>
      <c r="D26" s="160"/>
      <c r="E26" s="160"/>
      <c r="F26" s="160"/>
      <c r="G26" s="160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U26" s="146"/>
      <c r="V26" s="146"/>
      <c r="W26" s="146"/>
      <c r="X26" s="146"/>
      <c r="Y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3"/>
      <c r="AP26" s="144"/>
      <c r="AR26" s="146"/>
      <c r="AS26" s="146"/>
      <c r="AT26" s="146"/>
      <c r="AU26" s="146"/>
      <c r="AV26" s="146"/>
      <c r="AW26" s="146"/>
      <c r="AX26" s="146"/>
      <c r="AY26" s="86"/>
      <c r="AZ26" s="86"/>
      <c r="BA26" s="86"/>
      <c r="BC26" s="86"/>
      <c r="BD26" s="86"/>
      <c r="BE26" s="86"/>
      <c r="BF26" s="86"/>
      <c r="BH26" s="86"/>
      <c r="BK26" s="146"/>
      <c r="BL26" s="146"/>
      <c r="BM26" s="146"/>
      <c r="BN26" s="146"/>
      <c r="BP26" s="89"/>
      <c r="BQ26" s="146"/>
      <c r="BR26" s="146"/>
      <c r="BS26" s="146"/>
    </row>
    <row r="27" spans="2:71" ht="7.5" customHeight="1">
      <c r="B27" s="142"/>
      <c r="C27" s="142"/>
      <c r="D27" s="142"/>
      <c r="E27" s="142"/>
      <c r="F27" s="142"/>
      <c r="G27" s="142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U27" s="146"/>
      <c r="V27" s="146"/>
      <c r="W27" s="146"/>
      <c r="X27" s="146"/>
      <c r="Y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3"/>
      <c r="AP27" s="144"/>
      <c r="AR27" s="146"/>
      <c r="AS27" s="146"/>
      <c r="AT27" s="146"/>
      <c r="AU27" s="146"/>
      <c r="AV27" s="146"/>
      <c r="AW27" s="146"/>
      <c r="AX27" s="146"/>
      <c r="AY27" s="86"/>
      <c r="AZ27" s="86"/>
      <c r="BA27" s="86"/>
      <c r="BC27" s="86"/>
      <c r="BD27" s="86"/>
      <c r="BE27" s="86"/>
      <c r="BF27" s="86"/>
      <c r="BH27" s="86"/>
      <c r="BK27" s="146"/>
      <c r="BL27" s="146"/>
      <c r="BM27" s="146"/>
      <c r="BN27" s="146"/>
      <c r="BP27" s="89"/>
      <c r="BQ27" s="146"/>
      <c r="BR27" s="146"/>
      <c r="BS27" s="146"/>
    </row>
    <row r="28" spans="2:71" ht="23.25">
      <c r="B28" s="142"/>
      <c r="C28" s="142"/>
      <c r="D28" s="142"/>
      <c r="E28" s="173" t="s">
        <v>548</v>
      </c>
      <c r="G28" s="142"/>
      <c r="AP28" s="144"/>
      <c r="AQ28" s="146"/>
      <c r="BN28" s="146"/>
      <c r="BP28" s="89"/>
    </row>
    <row r="29" spans="2:71" ht="16.5" customHeight="1">
      <c r="B29" s="142"/>
      <c r="C29" s="142"/>
      <c r="D29" s="142"/>
      <c r="E29" s="142"/>
      <c r="F29" s="158"/>
      <c r="G29" s="142"/>
      <c r="AP29" s="144"/>
      <c r="AQ29" s="146"/>
      <c r="BN29" s="146"/>
      <c r="BP29" s="89"/>
    </row>
    <row r="30" spans="2:71" s="136" customFormat="1">
      <c r="B30" s="11"/>
      <c r="C30" s="11"/>
      <c r="D30" s="11"/>
      <c r="E30" s="30" t="s">
        <v>546</v>
      </c>
      <c r="F30" s="171" t="s">
        <v>547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43"/>
      <c r="AP30" s="144"/>
      <c r="AQ30" s="146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46"/>
      <c r="BO30" s="11"/>
      <c r="BP30" s="11"/>
      <c r="BQ30" s="11"/>
      <c r="BR30" s="11"/>
      <c r="BS30" s="11"/>
    </row>
    <row r="31" spans="2:71">
      <c r="B31" s="155"/>
      <c r="C31" s="152"/>
      <c r="D31" s="152"/>
      <c r="E31" s="167"/>
      <c r="F31" s="172"/>
      <c r="G31" s="170"/>
      <c r="AO31" s="143"/>
      <c r="AP31" s="144"/>
      <c r="AQ31" s="146"/>
      <c r="BN31" s="146"/>
    </row>
    <row r="32" spans="2:71">
      <c r="B32" s="168"/>
      <c r="C32" s="152"/>
      <c r="D32" s="152"/>
      <c r="E32" s="167"/>
      <c r="F32" s="169"/>
      <c r="G32" s="170"/>
      <c r="AO32" s="143"/>
      <c r="AP32" s="144"/>
      <c r="AQ32" s="146"/>
      <c r="BN32" s="146"/>
    </row>
    <row r="33" spans="2:71">
      <c r="B33" s="168"/>
      <c r="C33" s="152"/>
      <c r="D33" s="152"/>
      <c r="E33" s="167"/>
      <c r="F33" s="169"/>
      <c r="G33" s="170"/>
      <c r="U33" s="146"/>
      <c r="V33" s="146"/>
      <c r="W33" s="146"/>
      <c r="Y33" s="146"/>
      <c r="AA33" s="146"/>
      <c r="AB33" s="146"/>
      <c r="AD33" s="146"/>
      <c r="AE33" s="146"/>
      <c r="AG33" s="146"/>
      <c r="AH33" s="146"/>
      <c r="AI33" s="146"/>
      <c r="AJ33" s="146"/>
      <c r="AK33" s="146"/>
      <c r="AL33" s="146"/>
      <c r="AM33" s="146"/>
      <c r="AN33" s="146"/>
      <c r="AO33" s="143"/>
      <c r="AP33" s="144"/>
      <c r="AQ33" s="146"/>
      <c r="AR33" s="146"/>
      <c r="AS33" s="146"/>
      <c r="AT33" s="146"/>
      <c r="AU33" s="146"/>
      <c r="AV33" s="146"/>
      <c r="AW33" s="146"/>
      <c r="AX33" s="146"/>
      <c r="AZ33" s="146"/>
      <c r="BA33" s="146"/>
      <c r="BB33" s="146"/>
      <c r="BC33" s="146"/>
      <c r="BD33" s="146"/>
      <c r="BE33" s="146"/>
      <c r="BF33" s="146"/>
      <c r="BG33" s="146"/>
      <c r="BH33" s="146"/>
      <c r="BJ33" s="146"/>
      <c r="BK33" s="146"/>
      <c r="BL33" s="146"/>
      <c r="BM33" s="146"/>
      <c r="BN33" s="146"/>
      <c r="BO33" s="146"/>
      <c r="BP33" s="89"/>
      <c r="BQ33" s="146"/>
      <c r="BR33" s="146"/>
      <c r="BS33" s="146"/>
    </row>
    <row r="34" spans="2:71" s="136" customFormat="1">
      <c r="B34" s="155"/>
      <c r="C34" s="152"/>
      <c r="D34" s="152"/>
      <c r="E34" s="167"/>
      <c r="F34" s="172"/>
      <c r="G34" s="17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2:71" s="136" customFormat="1">
      <c r="B35" s="155"/>
      <c r="C35" s="151"/>
      <c r="D35" s="152"/>
      <c r="E35" s="167"/>
      <c r="F35" s="172"/>
      <c r="G35" s="17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2:71" s="136" customFormat="1">
      <c r="B36" s="155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2:71" s="136" customFormat="1">
      <c r="B37" s="155"/>
      <c r="C37" s="152"/>
      <c r="D37" s="152"/>
      <c r="E37" s="167"/>
      <c r="F37" s="172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2:71" s="136" customFormat="1">
      <c r="B38" s="168"/>
      <c r="C38" s="152"/>
      <c r="D38" s="152"/>
      <c r="E38" s="167"/>
      <c r="F38" s="169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2:71" s="136" customFormat="1">
      <c r="B39" s="168"/>
      <c r="C39" s="152"/>
      <c r="D39" s="152"/>
      <c r="E39" s="167"/>
      <c r="F39" s="169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2:71" s="136" customFormat="1">
      <c r="B40" s="168"/>
      <c r="C40" s="152"/>
      <c r="D40" s="152"/>
      <c r="E40" s="167"/>
      <c r="F40" s="169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2:71" s="136" customFormat="1">
      <c r="B41" s="168"/>
      <c r="C41" s="152"/>
      <c r="D41" s="152"/>
      <c r="E41" s="167"/>
      <c r="F41" s="169"/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2:71" s="136" customFormat="1">
      <c r="B42" s="155"/>
      <c r="C42" s="152"/>
      <c r="D42" s="152"/>
      <c r="E42" s="167"/>
      <c r="F42" s="172"/>
      <c r="G42" s="17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2:71" s="136" customFormat="1">
      <c r="B43" s="155"/>
      <c r="C43" s="152"/>
      <c r="D43" s="152"/>
      <c r="E43" s="167"/>
      <c r="F43" s="172"/>
      <c r="G43" s="17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2:71" s="136" customFormat="1">
      <c r="B44" s="155"/>
      <c r="C44" s="152"/>
      <c r="D44" s="152"/>
      <c r="E44" s="167"/>
      <c r="F44" s="172"/>
      <c r="G44" s="17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2:71" s="136" customFormat="1">
      <c r="B45" s="155"/>
      <c r="C45" s="152"/>
      <c r="D45" s="152"/>
      <c r="E45" s="167"/>
      <c r="F45" s="172"/>
      <c r="G45" s="17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2:71" s="136" customFormat="1">
      <c r="B46" s="168"/>
      <c r="C46" s="152"/>
      <c r="D46" s="152"/>
      <c r="E46" s="167"/>
      <c r="F46" s="169"/>
      <c r="G46" s="17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2:71" s="136" customFormat="1">
      <c r="B47" s="168"/>
      <c r="C47" s="152"/>
      <c r="D47" s="152"/>
      <c r="E47" s="167"/>
      <c r="F47" s="169"/>
      <c r="G47" s="17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2:71" s="136" customFormat="1">
      <c r="B48" s="155"/>
      <c r="C48" s="151"/>
      <c r="D48" s="152"/>
      <c r="E48" s="167"/>
      <c r="F48" s="172"/>
      <c r="G48" s="17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2:71" s="136" customFormat="1">
      <c r="B49" s="155"/>
      <c r="C49" s="151"/>
      <c r="D49" s="152"/>
      <c r="E49" s="167"/>
      <c r="F49" s="172"/>
      <c r="G49" s="17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2:71" s="136" customFormat="1">
      <c r="B50" s="146"/>
      <c r="C50" s="146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2:71" s="136" customFormat="1">
      <c r="B51" s="146"/>
      <c r="C51" s="146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2:71" s="136" customFormat="1">
      <c r="B52" s="146"/>
      <c r="C52" s="146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2:71" s="136" customFormat="1">
      <c r="B53" s="146"/>
      <c r="C53" s="146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2:71" s="136" customFormat="1">
      <c r="B54" s="146"/>
      <c r="C54" s="146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2:71" s="136" customFormat="1">
      <c r="B55" s="146"/>
      <c r="C55" s="146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</row>
    <row r="56" spans="2:71" s="136" customFormat="1">
      <c r="B56" s="146"/>
      <c r="C56" s="146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2:71" s="136" customFormat="1">
      <c r="B57" s="146"/>
      <c r="C57" s="146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2:71" s="136" customFormat="1">
      <c r="B58" s="146"/>
      <c r="C58" s="146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2:71" s="136" customFormat="1">
      <c r="B59" s="146"/>
      <c r="C59" s="146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2:71" s="136" customFormat="1">
      <c r="B60" s="146"/>
      <c r="C60" s="146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2:71" s="136" customFormat="1">
      <c r="B61" s="146"/>
      <c r="C61" s="146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2:71" s="136" customFormat="1">
      <c r="B62" s="146"/>
      <c r="C62" s="146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2:71" s="136" customFormat="1">
      <c r="B63" s="146"/>
      <c r="C63" s="146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2:71" s="136" customFormat="1">
      <c r="B64" s="146"/>
      <c r="C64" s="146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2:71" s="136" customFormat="1">
      <c r="B65" s="146"/>
      <c r="C65" s="146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</row>
    <row r="66" spans="2:71" s="136" customFormat="1">
      <c r="B66" s="146"/>
      <c r="C66" s="146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</row>
    <row r="67" spans="2:71" s="136" customFormat="1">
      <c r="B67" s="146"/>
      <c r="C67" s="146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</row>
    <row r="68" spans="2:71" s="136" customFormat="1">
      <c r="B68" s="146"/>
      <c r="C68" s="146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2:71" s="136" customFormat="1">
      <c r="B69" s="146"/>
      <c r="C69" s="146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</row>
    <row r="70" spans="2:71" s="136" customFormat="1">
      <c r="B70" s="146"/>
      <c r="C70" s="146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2:71" s="136" customFormat="1">
      <c r="B71" s="146"/>
      <c r="C71" s="146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2:71" s="136" customFormat="1">
      <c r="B72" s="146"/>
      <c r="C72" s="146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2:71" s="136" customFormat="1">
      <c r="B73" s="146"/>
      <c r="C73" s="146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2:71" s="136" customFormat="1">
      <c r="B74" s="146"/>
      <c r="C74" s="146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2:71" s="136" customFormat="1">
      <c r="B75" s="146"/>
      <c r="C75" s="146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2:71" s="136" customFormat="1">
      <c r="B76" s="146"/>
      <c r="C76" s="146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2:71" s="136" customFormat="1">
      <c r="B77" s="146"/>
      <c r="C77" s="146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2:71" s="136" customFormat="1">
      <c r="B78" s="146"/>
      <c r="C78" s="146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2:71" s="136" customFormat="1">
      <c r="B79" s="146"/>
      <c r="C79" s="146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2:71" s="136" customFormat="1">
      <c r="B80" s="146"/>
      <c r="C80" s="146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2:71" s="136" customFormat="1">
      <c r="B81" s="146"/>
      <c r="C81" s="146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2:71" s="136" customFormat="1">
      <c r="B82" s="146"/>
      <c r="C82" s="146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2:71" s="136" customFormat="1">
      <c r="B83" s="146"/>
      <c r="C83" s="146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</row>
    <row r="84" spans="2:71" s="136" customFormat="1">
      <c r="B84" s="146"/>
      <c r="C84" s="146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2:71" s="136" customFormat="1">
      <c r="B85" s="146"/>
      <c r="C85" s="146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</row>
    <row r="86" spans="2:71" s="136" customFormat="1">
      <c r="B86" s="146"/>
      <c r="C86" s="146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2:71" s="136" customFormat="1">
      <c r="B87" s="146"/>
      <c r="C87" s="146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</row>
    <row r="88" spans="2:71" s="136" customFormat="1">
      <c r="B88" s="146"/>
      <c r="C88" s="146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</row>
    <row r="89" spans="2:71" s="136" customFormat="1">
      <c r="B89" s="146"/>
      <c r="C89" s="146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2:71" s="136" customFormat="1">
      <c r="B90" s="146"/>
      <c r="C90" s="146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2:71" s="136" customFormat="1">
      <c r="B91" s="146"/>
      <c r="C91" s="146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2:71" s="136" customFormat="1">
      <c r="B92" s="146"/>
      <c r="C92" s="146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2:71" s="136" customFormat="1">
      <c r="B93" s="146"/>
      <c r="C93" s="146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2:71" s="136" customFormat="1">
      <c r="B94" s="146"/>
      <c r="C94" s="146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2:71" s="136" customFormat="1">
      <c r="B95" s="146"/>
      <c r="C95" s="146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2:71" s="136" customFormat="1">
      <c r="B96" s="146"/>
      <c r="C96" s="146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2:71" s="136" customFormat="1">
      <c r="B97" s="146"/>
      <c r="C97" s="146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2:71" s="136" customFormat="1">
      <c r="B98" s="146"/>
      <c r="C98" s="146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</row>
    <row r="99" spans="2:71" s="136" customFormat="1">
      <c r="B99" s="146"/>
      <c r="C99" s="146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</row>
    <row r="100" spans="2:71" s="136" customFormat="1">
      <c r="B100" s="146"/>
      <c r="C100" s="146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</row>
    <row r="101" spans="2:71" s="136" customFormat="1">
      <c r="B101" s="146"/>
      <c r="C101" s="146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2:71" s="136" customFormat="1">
      <c r="B102" s="146"/>
      <c r="C102" s="146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2:71" s="136" customFormat="1">
      <c r="B103" s="146"/>
      <c r="C103" s="146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</row>
    <row r="104" spans="2:71" s="136" customFormat="1">
      <c r="B104" s="146"/>
      <c r="C104" s="146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</row>
    <row r="105" spans="2:71" s="136" customFormat="1">
      <c r="B105" s="146"/>
      <c r="C105" s="146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</row>
    <row r="106" spans="2:71" s="136" customFormat="1">
      <c r="B106" s="146"/>
      <c r="C106" s="146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</row>
    <row r="107" spans="2:71" s="136" customFormat="1">
      <c r="B107" s="146"/>
      <c r="C107" s="146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</row>
    <row r="108" spans="2:71" s="136" customFormat="1">
      <c r="B108" s="146"/>
      <c r="C108" s="146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</row>
    <row r="109" spans="2:71" s="136" customFormat="1">
      <c r="B109" s="146"/>
      <c r="C109" s="146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</row>
    <row r="110" spans="2:71" s="136" customFormat="1">
      <c r="B110" s="146"/>
      <c r="C110" s="146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</row>
    <row r="111" spans="2:71" s="136" customFormat="1">
      <c r="B111" s="146"/>
      <c r="C111" s="146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</row>
    <row r="112" spans="2:71" s="136" customFormat="1">
      <c r="B112" s="146"/>
      <c r="C112" s="146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</row>
    <row r="113" spans="2:71" s="136" customFormat="1">
      <c r="B113" s="146"/>
      <c r="C113" s="146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</row>
    <row r="114" spans="2:71" s="136" customFormat="1">
      <c r="B114" s="146"/>
      <c r="C114" s="146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</row>
    <row r="115" spans="2:71" s="136" customFormat="1">
      <c r="B115" s="146"/>
      <c r="C115" s="146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2:71" s="136" customFormat="1">
      <c r="B116" s="146"/>
      <c r="C116" s="146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</row>
    <row r="117" spans="2:71" s="136" customFormat="1">
      <c r="B117" s="146"/>
      <c r="C117" s="146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</row>
    <row r="118" spans="2:71" s="136" customFormat="1">
      <c r="B118" s="146"/>
      <c r="C118" s="146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</row>
    <row r="119" spans="2:71" s="136" customFormat="1">
      <c r="B119" s="146"/>
      <c r="C119" s="146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</row>
    <row r="120" spans="2:71" s="136" customFormat="1">
      <c r="B120" s="146"/>
      <c r="C120" s="146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</row>
    <row r="121" spans="2:71" s="136" customFormat="1">
      <c r="B121" s="146"/>
      <c r="C121" s="146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</row>
    <row r="122" spans="2:71" s="136" customFormat="1">
      <c r="B122" s="146"/>
      <c r="C122" s="146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2:71" s="136" customFormat="1">
      <c r="B123" s="146"/>
      <c r="C123" s="146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</row>
    <row r="124" spans="2:71" s="136" customFormat="1">
      <c r="B124" s="146"/>
      <c r="C124" s="146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</row>
    <row r="125" spans="2:71" s="136" customFormat="1">
      <c r="B125" s="146"/>
      <c r="C125" s="146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</row>
    <row r="126" spans="2:71" s="136" customFormat="1">
      <c r="B126" s="146"/>
      <c r="C126" s="146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</row>
    <row r="127" spans="2:71" s="136" customFormat="1">
      <c r="B127" s="146"/>
      <c r="C127" s="146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</row>
    <row r="128" spans="2:71" s="136" customFormat="1">
      <c r="B128" s="146"/>
      <c r="C128" s="146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</row>
    <row r="129" spans="2:71" s="136" customFormat="1">
      <c r="B129" s="146"/>
      <c r="C129" s="146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2:71" s="136" customFormat="1">
      <c r="B130" s="146"/>
      <c r="C130" s="146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2:71" s="136" customFormat="1">
      <c r="B131" s="146"/>
      <c r="C131" s="146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</row>
    <row r="132" spans="2:71" s="136" customFormat="1">
      <c r="B132" s="146"/>
      <c r="C132" s="146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</row>
    <row r="133" spans="2:71" s="136" customFormat="1">
      <c r="B133" s="146"/>
      <c r="C133" s="146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</row>
    <row r="134" spans="2:71" s="136" customFormat="1">
      <c r="B134" s="146"/>
      <c r="C134" s="146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</row>
    <row r="135" spans="2:71" s="136" customFormat="1">
      <c r="B135" s="146"/>
      <c r="C135" s="146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</row>
    <row r="136" spans="2:71" s="136" customFormat="1">
      <c r="B136" s="146"/>
      <c r="C136" s="146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</row>
    <row r="137" spans="2:71" s="136" customFormat="1">
      <c r="B137" s="146"/>
      <c r="C137" s="146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</row>
    <row r="138" spans="2:71" s="136" customFormat="1">
      <c r="B138" s="146"/>
      <c r="C138" s="146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</row>
    <row r="139" spans="2:71" s="136" customFormat="1">
      <c r="B139" s="146"/>
      <c r="C139" s="146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</row>
    <row r="140" spans="2:71" s="136" customFormat="1">
      <c r="B140" s="146"/>
      <c r="C140" s="146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</row>
    <row r="141" spans="2:71" s="136" customFormat="1">
      <c r="B141" s="146"/>
      <c r="C141" s="146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</row>
    <row r="142" spans="2:71" s="136" customFormat="1">
      <c r="B142" s="146"/>
      <c r="C142" s="146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</row>
    <row r="143" spans="2:71" s="136" customFormat="1">
      <c r="B143" s="146"/>
      <c r="C143" s="146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</row>
    <row r="144" spans="2:71" s="136" customFormat="1">
      <c r="B144" s="146"/>
      <c r="C144" s="146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</row>
    <row r="145" spans="2:71" s="136" customFormat="1">
      <c r="B145" s="146"/>
      <c r="C145" s="146"/>
      <c r="D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</row>
    <row r="146" spans="2:71" s="136" customFormat="1">
      <c r="B146" s="146"/>
      <c r="C146" s="146"/>
      <c r="D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</row>
    <row r="147" spans="2:71" s="136" customFormat="1">
      <c r="B147" s="146"/>
      <c r="C147" s="146"/>
      <c r="D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</row>
    <row r="148" spans="2:71" s="136" customFormat="1">
      <c r="B148" s="146"/>
      <c r="C148" s="146"/>
      <c r="D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</row>
    <row r="149" spans="2:71" s="136" customFormat="1">
      <c r="B149" s="146"/>
      <c r="C149" s="146"/>
      <c r="D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</row>
    <row r="150" spans="2:71" s="136" customFormat="1">
      <c r="B150" s="146"/>
      <c r="C150" s="146"/>
      <c r="D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</row>
    <row r="151" spans="2:71" s="136" customFormat="1">
      <c r="B151" s="146"/>
      <c r="C151" s="146"/>
      <c r="D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</row>
    <row r="152" spans="2:71" s="136" customFormat="1">
      <c r="B152" s="146"/>
      <c r="C152" s="146"/>
      <c r="D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</row>
  </sheetData>
  <mergeCells count="9">
    <mergeCell ref="BI4:BP4"/>
    <mergeCell ref="AY11:BC11"/>
    <mergeCell ref="AY12:BC12"/>
    <mergeCell ref="T4:AN4"/>
    <mergeCell ref="AO4:AP4"/>
    <mergeCell ref="AQ4:AR4"/>
    <mergeCell ref="AS4:AX4"/>
    <mergeCell ref="AY4:BC4"/>
    <mergeCell ref="BD4:BH4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M154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33.28515625" style="11" customWidth="1"/>
    <col min="5" max="5" width="51" style="136" customWidth="1"/>
    <col min="6" max="6" width="22.7109375" style="11" customWidth="1"/>
    <col min="7" max="7" width="15.7109375" style="11" customWidth="1"/>
    <col min="8" max="8" width="14.7109375" style="11" customWidth="1"/>
    <col min="9" max="9" width="12.5703125" style="11" customWidth="1"/>
    <col min="10" max="10" width="13.42578125" style="11" customWidth="1"/>
    <col min="11" max="11" width="13.140625" style="11" customWidth="1"/>
    <col min="12" max="12" width="13.42578125" style="11" hidden="1" customWidth="1"/>
    <col min="13" max="13" width="13.28515625" style="11" hidden="1" customWidth="1"/>
    <col min="14" max="14" width="13.42578125" style="11" hidden="1" customWidth="1"/>
    <col min="15" max="15" width="10.7109375" style="11" hidden="1" customWidth="1"/>
    <col min="16" max="16" width="13.42578125" style="11" hidden="1" customWidth="1"/>
    <col min="17" max="17" width="9.7109375" style="11" hidden="1" customWidth="1"/>
    <col min="18" max="18" width="13.140625" style="11" hidden="1" customWidth="1"/>
    <col min="19" max="19" width="12.140625" style="11" hidden="1" customWidth="1"/>
    <col min="20" max="20" width="11.42578125" style="11" customWidth="1"/>
    <col min="21" max="21" width="6.140625" style="11" customWidth="1"/>
    <col min="22" max="22" width="9.7109375" style="11" customWidth="1"/>
    <col min="23" max="23" width="7.140625" style="11" customWidth="1"/>
    <col min="24" max="24" width="11.28515625" style="11" customWidth="1"/>
    <col min="25" max="25" width="9.42578125" style="11" customWidth="1"/>
    <col min="26" max="26" width="10.5703125" style="11" customWidth="1"/>
    <col min="27" max="28" width="8.42578125" style="11" customWidth="1"/>
    <col min="29" max="29" width="12.5703125" style="11" customWidth="1"/>
    <col min="30" max="30" width="7.7109375" style="11" customWidth="1"/>
    <col min="31" max="31" width="10.28515625" style="11" customWidth="1"/>
    <col min="32" max="32" width="15.5703125" style="11" customWidth="1"/>
    <col min="33" max="33" width="9.5703125" style="11" customWidth="1"/>
    <col min="34" max="34" width="10.5703125" style="11" customWidth="1"/>
    <col min="35" max="35" width="6.140625" style="11" customWidth="1"/>
    <col min="36" max="37" width="9.28515625" style="11" customWidth="1"/>
    <col min="38" max="38" width="14.140625" style="11" customWidth="1"/>
    <col min="39" max="39" width="11" style="11" customWidth="1"/>
    <col min="40" max="40" width="9.140625" style="11" customWidth="1"/>
    <col min="41" max="41" width="13" style="11" customWidth="1"/>
    <col min="42" max="42" width="9.140625" style="11" customWidth="1"/>
    <col min="43" max="43" width="14.85546875" style="11" customWidth="1"/>
    <col min="44" max="44" width="17.140625" style="11" customWidth="1"/>
    <col min="45" max="45" width="7" style="11" bestFit="1" customWidth="1"/>
    <col min="46" max="46" width="17.85546875" style="11" customWidth="1"/>
    <col min="47" max="47" width="6.85546875" style="11" bestFit="1" customWidth="1"/>
    <col min="48" max="48" width="6.7109375" style="11" customWidth="1"/>
    <col min="49" max="49" width="7.5703125" style="11" bestFit="1" customWidth="1"/>
    <col min="50" max="50" width="7" style="11" bestFit="1" customWidth="1"/>
    <col min="51" max="51" width="20.140625" style="11" bestFit="1" customWidth="1"/>
    <col min="52" max="52" width="6.85546875" style="11" bestFit="1" customWidth="1"/>
    <col min="53" max="53" width="5.5703125" style="11" bestFit="1" customWidth="1"/>
    <col min="54" max="54" width="7.5703125" style="11" bestFit="1" customWidth="1"/>
    <col min="55" max="55" width="17.85546875" style="11" customWidth="1"/>
    <col min="56" max="56" width="10.42578125" style="11" bestFit="1" customWidth="1"/>
    <col min="57" max="57" width="12" style="11" bestFit="1" customWidth="1"/>
    <col min="58" max="59" width="14.42578125" style="11" bestFit="1" customWidth="1"/>
    <col min="60" max="60" width="13.28515625" style="11" bestFit="1" customWidth="1"/>
    <col min="61" max="61" width="16.28515625" style="11" bestFit="1" customWidth="1"/>
    <col min="62" max="62" width="22.28515625" style="11" customWidth="1"/>
    <col min="63" max="63" width="12.140625" style="11" hidden="1" customWidth="1"/>
    <col min="64" max="64" width="15.42578125" style="11" hidden="1" customWidth="1"/>
    <col min="65" max="65" width="12.42578125" style="11" hidden="1" customWidth="1"/>
    <col min="66" max="16384" width="9.140625" style="11"/>
  </cols>
  <sheetData>
    <row r="2" spans="1:65" ht="23.25">
      <c r="E2" s="9" t="s">
        <v>578</v>
      </c>
      <c r="G2" s="9"/>
      <c r="H2" s="10"/>
    </row>
    <row r="3" spans="1:65" ht="20.25">
      <c r="E3" s="242">
        <v>41791</v>
      </c>
    </row>
    <row r="4" spans="1:65" ht="15.75" customHeight="1">
      <c r="D4" s="137" t="s">
        <v>17</v>
      </c>
      <c r="F4" s="330"/>
      <c r="G4" s="330"/>
      <c r="H4" s="331" t="s">
        <v>15</v>
      </c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90" t="s">
        <v>16</v>
      </c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1" t="s">
        <v>703</v>
      </c>
      <c r="AP4" s="391"/>
      <c r="AQ4" s="392" t="s">
        <v>19</v>
      </c>
      <c r="AR4" s="392"/>
      <c r="AS4" s="393" t="s">
        <v>22</v>
      </c>
      <c r="AT4" s="393"/>
      <c r="AU4" s="393"/>
      <c r="AV4" s="393"/>
      <c r="AW4" s="393"/>
      <c r="AX4" s="398" t="s">
        <v>28</v>
      </c>
      <c r="AY4" s="398"/>
      <c r="AZ4" s="398"/>
      <c r="BA4" s="398"/>
      <c r="BB4" s="398"/>
      <c r="BC4" s="389" t="s">
        <v>34</v>
      </c>
      <c r="BD4" s="389"/>
      <c r="BE4" s="389"/>
      <c r="BF4" s="389"/>
      <c r="BG4" s="389"/>
      <c r="BH4" s="389"/>
      <c r="BI4" s="389"/>
      <c r="BJ4" s="389"/>
    </row>
    <row r="5" spans="1:65">
      <c r="B5" s="139" t="s">
        <v>0</v>
      </c>
      <c r="C5" s="150" t="s">
        <v>658</v>
      </c>
      <c r="D5" s="139" t="s">
        <v>2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738</v>
      </c>
      <c r="AL5" s="32" t="s">
        <v>39</v>
      </c>
      <c r="AM5" s="32" t="s">
        <v>40</v>
      </c>
      <c r="AN5" s="32" t="s">
        <v>13</v>
      </c>
      <c r="AO5" s="37" t="s">
        <v>20</v>
      </c>
      <c r="AP5" s="37" t="s">
        <v>21</v>
      </c>
      <c r="AQ5" s="33" t="s">
        <v>18</v>
      </c>
      <c r="AR5" s="33" t="s">
        <v>55</v>
      </c>
      <c r="AS5" s="35" t="s">
        <v>23</v>
      </c>
      <c r="AT5" s="35" t="s">
        <v>24</v>
      </c>
      <c r="AU5" s="35" t="s">
        <v>25</v>
      </c>
      <c r="AV5" s="35" t="s">
        <v>26</v>
      </c>
      <c r="AW5" s="35" t="s">
        <v>27</v>
      </c>
      <c r="AX5" s="36" t="s">
        <v>23</v>
      </c>
      <c r="AY5" s="36" t="s">
        <v>24</v>
      </c>
      <c r="AZ5" s="36" t="s">
        <v>25</v>
      </c>
      <c r="BA5" s="36" t="s">
        <v>26</v>
      </c>
      <c r="BB5" s="36" t="s">
        <v>27</v>
      </c>
      <c r="BC5" s="37" t="s">
        <v>45</v>
      </c>
      <c r="BD5" s="38" t="s">
        <v>29</v>
      </c>
      <c r="BE5" s="38" t="s">
        <v>30</v>
      </c>
      <c r="BF5" s="38" t="s">
        <v>31</v>
      </c>
      <c r="BG5" s="38" t="s">
        <v>32</v>
      </c>
      <c r="BH5" s="38" t="s">
        <v>33</v>
      </c>
      <c r="BI5" s="38" t="s">
        <v>35</v>
      </c>
      <c r="BJ5" s="38" t="s">
        <v>44</v>
      </c>
      <c r="BK5" s="38" t="s">
        <v>41</v>
      </c>
      <c r="BL5" s="38" t="s">
        <v>42</v>
      </c>
      <c r="BM5" s="38" t="s">
        <v>43</v>
      </c>
    </row>
    <row r="6" spans="1:65" ht="60">
      <c r="A6" s="244"/>
      <c r="B6" s="334" t="s">
        <v>1459</v>
      </c>
      <c r="C6" s="167" t="s">
        <v>541</v>
      </c>
      <c r="D6" s="328" t="s">
        <v>1308</v>
      </c>
      <c r="E6" s="337" t="s">
        <v>1460</v>
      </c>
      <c r="F6" s="167" t="s">
        <v>83</v>
      </c>
      <c r="G6" s="167" t="s">
        <v>1461</v>
      </c>
      <c r="H6" s="167" t="s">
        <v>1462</v>
      </c>
      <c r="I6" s="167" t="s">
        <v>1463</v>
      </c>
      <c r="J6" s="182" t="s">
        <v>1464</v>
      </c>
      <c r="K6" s="184">
        <v>1402680</v>
      </c>
      <c r="L6" s="344"/>
      <c r="M6" s="344"/>
      <c r="N6" s="344"/>
      <c r="O6" s="344"/>
      <c r="P6" s="344"/>
      <c r="Q6" s="344"/>
      <c r="R6" s="344"/>
      <c r="S6" s="344"/>
      <c r="T6" s="342" t="s">
        <v>1465</v>
      </c>
      <c r="U6" s="342"/>
      <c r="V6" s="182"/>
      <c r="W6" s="342"/>
      <c r="X6" s="182" t="s">
        <v>1466</v>
      </c>
      <c r="Y6" s="342"/>
      <c r="Z6" s="182" t="s">
        <v>1467</v>
      </c>
      <c r="AA6" s="287" t="s">
        <v>1468</v>
      </c>
      <c r="AB6" s="167"/>
      <c r="AC6" s="167"/>
      <c r="AD6" s="257"/>
      <c r="AE6" s="257"/>
      <c r="AF6" s="167"/>
      <c r="AG6" s="167"/>
      <c r="AH6" s="257"/>
      <c r="AI6" s="176"/>
      <c r="AJ6" s="167"/>
      <c r="AK6" s="167"/>
      <c r="AL6" s="167"/>
      <c r="AM6" s="167"/>
      <c r="AN6" s="257"/>
      <c r="AO6" s="258">
        <v>33.840000000000003</v>
      </c>
      <c r="AP6" s="175">
        <f t="shared" ref="AP6:AP16" si="0">AO6/0.444</f>
        <v>76.216216216216225</v>
      </c>
      <c r="AQ6" s="266" t="s">
        <v>1469</v>
      </c>
      <c r="AR6" s="266" t="s">
        <v>1470</v>
      </c>
      <c r="AS6" s="297" t="s">
        <v>662</v>
      </c>
      <c r="AT6" s="297"/>
      <c r="AU6" s="297"/>
      <c r="AV6" s="297"/>
      <c r="AW6" s="297"/>
      <c r="AX6" s="359">
        <v>6.806</v>
      </c>
      <c r="AY6" s="359">
        <v>6.806</v>
      </c>
      <c r="AZ6" s="359">
        <v>6.1120000000000001</v>
      </c>
      <c r="BA6" s="358">
        <f t="shared" ref="BA6:BA16" si="1">(AZ6*AY6*AX6)/1728</f>
        <v>0.16384134214814813</v>
      </c>
      <c r="BB6" s="359">
        <f>1.5+0.25</f>
        <v>1.75</v>
      </c>
      <c r="BC6" s="264"/>
      <c r="BD6" s="194">
        <v>1</v>
      </c>
      <c r="BE6" s="194">
        <v>35</v>
      </c>
      <c r="BF6" s="194">
        <v>7</v>
      </c>
      <c r="BG6" s="194">
        <f t="shared" ref="BG6:BG16" si="2">BD6*BE6*BF6</f>
        <v>245</v>
      </c>
      <c r="BH6" s="194">
        <f t="shared" ref="BH6:BH16" si="3">(BB6*BE6*BF6)+50</f>
        <v>478.75</v>
      </c>
      <c r="BI6" s="194" t="s">
        <v>65</v>
      </c>
      <c r="BJ6" s="194" t="s">
        <v>107</v>
      </c>
      <c r="BK6" s="38"/>
      <c r="BL6" s="38"/>
      <c r="BM6" s="38"/>
    </row>
    <row r="7" spans="1:65" ht="60">
      <c r="A7" s="244"/>
      <c r="B7" s="334" t="s">
        <v>1455</v>
      </c>
      <c r="C7" s="257" t="s">
        <v>541</v>
      </c>
      <c r="D7" s="328" t="s">
        <v>1308</v>
      </c>
      <c r="E7" s="337" t="s">
        <v>1471</v>
      </c>
      <c r="F7" s="167" t="s">
        <v>282</v>
      </c>
      <c r="G7" s="167">
        <v>19179832</v>
      </c>
      <c r="H7" s="167" t="s">
        <v>1007</v>
      </c>
      <c r="I7" s="167" t="s">
        <v>1472</v>
      </c>
      <c r="J7" s="182"/>
      <c r="K7" s="184"/>
      <c r="L7" s="344"/>
      <c r="M7" s="344"/>
      <c r="N7" s="344"/>
      <c r="O7" s="344"/>
      <c r="P7" s="344"/>
      <c r="Q7" s="344"/>
      <c r="R7" s="344"/>
      <c r="S7" s="344"/>
      <c r="T7" s="342"/>
      <c r="U7" s="342"/>
      <c r="V7" s="182">
        <v>83832</v>
      </c>
      <c r="W7" s="342"/>
      <c r="X7" s="182"/>
      <c r="Y7" s="342"/>
      <c r="Z7" s="182"/>
      <c r="AA7" s="287"/>
      <c r="AB7" s="167"/>
      <c r="AC7" s="167"/>
      <c r="AD7" s="167"/>
      <c r="AE7" s="257"/>
      <c r="AF7" s="167"/>
      <c r="AG7" s="257"/>
      <c r="AH7" s="257"/>
      <c r="AI7" s="176">
        <v>9832</v>
      </c>
      <c r="AJ7" s="167"/>
      <c r="AK7" s="167"/>
      <c r="AL7" s="167"/>
      <c r="AM7" s="167"/>
      <c r="AN7" s="257">
        <v>49832</v>
      </c>
      <c r="AO7" s="258">
        <v>102.97</v>
      </c>
      <c r="AP7" s="175">
        <f t="shared" si="0"/>
        <v>231.91441441441441</v>
      </c>
      <c r="AQ7" s="266" t="s">
        <v>1457</v>
      </c>
      <c r="AR7" s="266" t="s">
        <v>1458</v>
      </c>
      <c r="AS7" s="297" t="s">
        <v>662</v>
      </c>
      <c r="AT7" s="297"/>
      <c r="AU7" s="297"/>
      <c r="AV7" s="297"/>
      <c r="AW7" s="297"/>
      <c r="AX7" s="359">
        <v>9.6809999999999992</v>
      </c>
      <c r="AY7" s="359">
        <v>9.6809999999999992</v>
      </c>
      <c r="AZ7" s="359">
        <v>20.486999999999998</v>
      </c>
      <c r="BA7" s="358">
        <f t="shared" si="1"/>
        <v>1.1111560865781247</v>
      </c>
      <c r="BB7" s="359">
        <f>3.87+0.25</f>
        <v>4.12</v>
      </c>
      <c r="BC7" s="264" t="s">
        <v>68</v>
      </c>
      <c r="BD7" s="194">
        <v>1</v>
      </c>
      <c r="BE7" s="194">
        <v>16</v>
      </c>
      <c r="BF7" s="194">
        <v>2</v>
      </c>
      <c r="BG7" s="194">
        <f t="shared" si="2"/>
        <v>32</v>
      </c>
      <c r="BH7" s="194">
        <f t="shared" si="3"/>
        <v>181.84</v>
      </c>
      <c r="BI7" s="194" t="s">
        <v>65</v>
      </c>
      <c r="BJ7" s="194" t="s">
        <v>107</v>
      </c>
      <c r="BK7" s="38"/>
      <c r="BL7" s="38"/>
      <c r="BM7" s="38"/>
    </row>
    <row r="8" spans="1:65" ht="60">
      <c r="A8" s="244"/>
      <c r="B8" s="334" t="s">
        <v>1473</v>
      </c>
      <c r="C8" s="167" t="s">
        <v>541</v>
      </c>
      <c r="D8" s="328" t="s">
        <v>1308</v>
      </c>
      <c r="E8" s="338" t="s">
        <v>1474</v>
      </c>
      <c r="F8" s="278" t="s">
        <v>306</v>
      </c>
      <c r="G8" s="278" t="s">
        <v>1475</v>
      </c>
      <c r="H8" s="278"/>
      <c r="I8" s="278"/>
      <c r="J8" s="279"/>
      <c r="K8" s="280"/>
      <c r="L8" s="345"/>
      <c r="M8" s="345"/>
      <c r="N8" s="345"/>
      <c r="O8" s="345"/>
      <c r="P8" s="345"/>
      <c r="Q8" s="345"/>
      <c r="R8" s="345"/>
      <c r="S8" s="345"/>
      <c r="T8" s="343"/>
      <c r="U8" s="346"/>
      <c r="V8" s="279"/>
      <c r="W8" s="346"/>
      <c r="X8" s="225" t="s">
        <v>1476</v>
      </c>
      <c r="Y8" s="346"/>
      <c r="Z8" s="225"/>
      <c r="AA8" s="347"/>
      <c r="AB8" s="278"/>
      <c r="AC8" s="278"/>
      <c r="AD8" s="278"/>
      <c r="AE8" s="348"/>
      <c r="AF8" s="278"/>
      <c r="AG8" s="348"/>
      <c r="AH8" s="348"/>
      <c r="AI8" s="349"/>
      <c r="AJ8" s="278"/>
      <c r="AK8" s="278"/>
      <c r="AL8" s="278"/>
      <c r="AM8" s="278"/>
      <c r="AN8" s="350"/>
      <c r="AO8" s="258">
        <v>242.03</v>
      </c>
      <c r="AP8" s="175">
        <f t="shared" si="0"/>
        <v>545.11261261261257</v>
      </c>
      <c r="AQ8" s="266" t="s">
        <v>1477</v>
      </c>
      <c r="AR8" s="266" t="s">
        <v>1478</v>
      </c>
      <c r="AS8" s="299" t="s">
        <v>662</v>
      </c>
      <c r="AT8" s="300"/>
      <c r="AU8" s="300"/>
      <c r="AV8" s="300"/>
      <c r="AW8" s="301"/>
      <c r="AX8" s="359">
        <v>10.99</v>
      </c>
      <c r="AY8" s="359">
        <v>10.25</v>
      </c>
      <c r="AZ8" s="359">
        <v>8.57</v>
      </c>
      <c r="BA8" s="358">
        <f t="shared" si="1"/>
        <v>0.55867423321759258</v>
      </c>
      <c r="BB8" s="359">
        <f>2.84+0.25</f>
        <v>3.09</v>
      </c>
      <c r="BC8" s="264"/>
      <c r="BD8" s="194">
        <v>1</v>
      </c>
      <c r="BE8" s="194">
        <v>6</v>
      </c>
      <c r="BF8" s="194">
        <v>6</v>
      </c>
      <c r="BG8" s="194">
        <f t="shared" si="2"/>
        <v>36</v>
      </c>
      <c r="BH8" s="194">
        <f t="shared" si="3"/>
        <v>161.24</v>
      </c>
      <c r="BI8" s="194" t="s">
        <v>65</v>
      </c>
      <c r="BJ8" s="194" t="s">
        <v>107</v>
      </c>
      <c r="BK8" s="38"/>
      <c r="BL8" s="38"/>
      <c r="BM8" s="38"/>
    </row>
    <row r="9" spans="1:65" ht="60">
      <c r="A9" s="244"/>
      <c r="B9" s="334" t="s">
        <v>1479</v>
      </c>
      <c r="C9" s="167" t="s">
        <v>541</v>
      </c>
      <c r="D9" s="328" t="s">
        <v>1308</v>
      </c>
      <c r="E9" s="338" t="s">
        <v>1480</v>
      </c>
      <c r="F9" s="167" t="s">
        <v>1481</v>
      </c>
      <c r="G9" s="167" t="s">
        <v>1482</v>
      </c>
      <c r="H9" s="167"/>
      <c r="I9" s="167"/>
      <c r="J9" s="182"/>
      <c r="K9" s="184"/>
      <c r="L9" s="344"/>
      <c r="M9" s="344"/>
      <c r="N9" s="344"/>
      <c r="O9" s="344"/>
      <c r="P9" s="344"/>
      <c r="Q9" s="344"/>
      <c r="R9" s="344"/>
      <c r="S9" s="344"/>
      <c r="T9" s="342"/>
      <c r="U9" s="342"/>
      <c r="V9" s="182"/>
      <c r="W9" s="342"/>
      <c r="X9" s="182" t="s">
        <v>1482</v>
      </c>
      <c r="Y9" s="342"/>
      <c r="Z9" s="182"/>
      <c r="AA9" s="287"/>
      <c r="AB9" s="167"/>
      <c r="AC9" s="167"/>
      <c r="AD9" s="167"/>
      <c r="AE9" s="257"/>
      <c r="AF9" s="167"/>
      <c r="AG9" s="257"/>
      <c r="AH9" s="257"/>
      <c r="AI9" s="176"/>
      <c r="AJ9" s="167"/>
      <c r="AK9" s="167"/>
      <c r="AL9" s="167"/>
      <c r="AM9" s="167"/>
      <c r="AN9" s="257"/>
      <c r="AO9" s="258">
        <v>291.88</v>
      </c>
      <c r="AP9" s="175">
        <f t="shared" si="0"/>
        <v>657.38738738738732</v>
      </c>
      <c r="AQ9" s="266" t="s">
        <v>1483</v>
      </c>
      <c r="AR9" s="266" t="s">
        <v>1484</v>
      </c>
      <c r="AS9" s="299" t="s">
        <v>662</v>
      </c>
      <c r="AT9" s="300"/>
      <c r="AU9" s="300"/>
      <c r="AV9" s="300"/>
      <c r="AW9" s="301"/>
      <c r="AX9" s="359">
        <v>15</v>
      </c>
      <c r="AY9" s="359">
        <v>15</v>
      </c>
      <c r="AZ9" s="359">
        <v>10.52</v>
      </c>
      <c r="BA9" s="358">
        <f t="shared" si="1"/>
        <v>1.3697916666666663</v>
      </c>
      <c r="BB9" s="359">
        <f>5.53+0.25</f>
        <v>5.78</v>
      </c>
      <c r="BC9" s="264"/>
      <c r="BD9" s="194">
        <v>1</v>
      </c>
      <c r="BE9" s="194">
        <v>6</v>
      </c>
      <c r="BF9" s="194">
        <v>3</v>
      </c>
      <c r="BG9" s="194">
        <f t="shared" si="2"/>
        <v>18</v>
      </c>
      <c r="BH9" s="194">
        <f t="shared" si="3"/>
        <v>154.04</v>
      </c>
      <c r="BI9" s="194" t="s">
        <v>65</v>
      </c>
      <c r="BJ9" s="194" t="s">
        <v>107</v>
      </c>
      <c r="BK9" s="306"/>
      <c r="BL9" s="38"/>
      <c r="BM9" s="38"/>
    </row>
    <row r="10" spans="1:65" ht="30">
      <c r="A10" s="244"/>
      <c r="B10" s="334" t="s">
        <v>1485</v>
      </c>
      <c r="C10" s="167" t="s">
        <v>541</v>
      </c>
      <c r="D10" s="329" t="s">
        <v>1486</v>
      </c>
      <c r="E10" s="338" t="s">
        <v>1487</v>
      </c>
      <c r="F10" s="167" t="s">
        <v>306</v>
      </c>
      <c r="G10" s="167" t="s">
        <v>1488</v>
      </c>
      <c r="H10" s="167"/>
      <c r="I10" s="167"/>
      <c r="J10" s="182"/>
      <c r="K10" s="184"/>
      <c r="L10" s="344"/>
      <c r="M10" s="344"/>
      <c r="N10" s="344"/>
      <c r="O10" s="344"/>
      <c r="P10" s="344"/>
      <c r="Q10" s="344"/>
      <c r="R10" s="344"/>
      <c r="S10" s="344"/>
      <c r="T10" s="342"/>
      <c r="U10" s="342"/>
      <c r="V10" s="181"/>
      <c r="W10" s="342"/>
      <c r="X10" s="182"/>
      <c r="Y10" s="342"/>
      <c r="Z10" s="182" t="s">
        <v>1489</v>
      </c>
      <c r="AA10" s="351"/>
      <c r="AB10" s="167"/>
      <c r="AC10" s="167"/>
      <c r="AD10" s="257"/>
      <c r="AE10" s="257"/>
      <c r="AF10" s="167"/>
      <c r="AG10" s="257"/>
      <c r="AH10" s="257"/>
      <c r="AI10" s="176"/>
      <c r="AJ10" s="352"/>
      <c r="AK10" s="353"/>
      <c r="AL10" s="352"/>
      <c r="AM10" s="352"/>
      <c r="AN10" s="167" t="s">
        <v>1490</v>
      </c>
      <c r="AO10" s="258">
        <v>53.49</v>
      </c>
      <c r="AP10" s="175">
        <f t="shared" si="0"/>
        <v>120.47297297297298</v>
      </c>
      <c r="AQ10" s="266" t="s">
        <v>1491</v>
      </c>
      <c r="AR10" s="266" t="s">
        <v>1492</v>
      </c>
      <c r="AS10" s="275" t="s">
        <v>720</v>
      </c>
      <c r="AT10" s="303"/>
      <c r="AU10" s="303"/>
      <c r="AV10" s="303"/>
      <c r="AW10" s="304"/>
      <c r="AX10" s="359">
        <v>15.055999999999999</v>
      </c>
      <c r="AY10" s="359">
        <v>10.305999999999999</v>
      </c>
      <c r="AZ10" s="359">
        <v>13.362</v>
      </c>
      <c r="BA10" s="358">
        <f t="shared" si="1"/>
        <v>1.199851430111111</v>
      </c>
      <c r="BB10" s="359">
        <f>2.4*6+0.4</f>
        <v>14.799999999999999</v>
      </c>
      <c r="BC10" s="264"/>
      <c r="BD10" s="194">
        <v>6</v>
      </c>
      <c r="BE10" s="194">
        <v>10</v>
      </c>
      <c r="BF10" s="194">
        <v>3</v>
      </c>
      <c r="BG10" s="194">
        <f t="shared" si="2"/>
        <v>180</v>
      </c>
      <c r="BH10" s="194">
        <f t="shared" si="3"/>
        <v>494</v>
      </c>
      <c r="BI10" s="194" t="s">
        <v>65</v>
      </c>
      <c r="BJ10" s="194" t="s">
        <v>107</v>
      </c>
      <c r="BK10" s="38"/>
      <c r="BL10" s="38"/>
      <c r="BM10" s="38"/>
    </row>
    <row r="11" spans="1:65">
      <c r="A11" s="244"/>
      <c r="B11" s="334" t="s">
        <v>1449</v>
      </c>
      <c r="C11" s="257" t="s">
        <v>541</v>
      </c>
      <c r="D11" s="329" t="s">
        <v>1486</v>
      </c>
      <c r="E11" s="336" t="s">
        <v>1493</v>
      </c>
      <c r="F11" s="167" t="s">
        <v>66</v>
      </c>
      <c r="G11" s="167">
        <v>87803180</v>
      </c>
      <c r="H11" s="167" t="s">
        <v>500</v>
      </c>
      <c r="I11" s="167">
        <v>2830359</v>
      </c>
      <c r="J11" s="182"/>
      <c r="K11" s="184"/>
      <c r="L11" s="344"/>
      <c r="M11" s="344"/>
      <c r="N11" s="344"/>
      <c r="O11" s="344"/>
      <c r="P11" s="344"/>
      <c r="Q11" s="344"/>
      <c r="R11" s="344"/>
      <c r="S11" s="344"/>
      <c r="T11" s="342" t="s">
        <v>1494</v>
      </c>
      <c r="U11" s="342"/>
      <c r="V11" s="182"/>
      <c r="W11" s="342"/>
      <c r="X11" s="182"/>
      <c r="Y11" s="342"/>
      <c r="Z11" s="182" t="s">
        <v>1495</v>
      </c>
      <c r="AA11" s="287"/>
      <c r="AB11" s="167"/>
      <c r="AC11" s="167"/>
      <c r="AD11" s="257"/>
      <c r="AE11" s="257"/>
      <c r="AF11" s="167"/>
      <c r="AG11" s="257"/>
      <c r="AH11" s="257"/>
      <c r="AI11" s="176"/>
      <c r="AJ11" s="167"/>
      <c r="AK11" s="257"/>
      <c r="AL11" s="167"/>
      <c r="AM11" s="167"/>
      <c r="AN11" s="257"/>
      <c r="AO11" s="258">
        <v>22.5</v>
      </c>
      <c r="AP11" s="175">
        <f t="shared" si="0"/>
        <v>50.675675675675677</v>
      </c>
      <c r="AQ11" s="266" t="s">
        <v>1450</v>
      </c>
      <c r="AR11" s="266" t="s">
        <v>1451</v>
      </c>
      <c r="AS11" s="355">
        <v>3.875</v>
      </c>
      <c r="AT11" s="356">
        <v>3.875</v>
      </c>
      <c r="AU11" s="356">
        <v>7.25</v>
      </c>
      <c r="AV11" s="288">
        <f>(AU11*AT11*AS11)/1728</f>
        <v>6.2999584056712965E-2</v>
      </c>
      <c r="AW11" s="357">
        <v>1.6</v>
      </c>
      <c r="AX11" s="359">
        <v>15.805999999999999</v>
      </c>
      <c r="AY11" s="359">
        <v>11.805999999999999</v>
      </c>
      <c r="AZ11" s="359">
        <v>8.1120000000000001</v>
      </c>
      <c r="BA11" s="358">
        <f t="shared" si="1"/>
        <v>0.87600979122222211</v>
      </c>
      <c r="BB11" s="359">
        <f>AW11*BD11+0.25</f>
        <v>19.450000000000003</v>
      </c>
      <c r="BC11" s="264" t="s">
        <v>68</v>
      </c>
      <c r="BD11" s="194">
        <v>12</v>
      </c>
      <c r="BE11" s="194">
        <v>10</v>
      </c>
      <c r="BF11" s="194">
        <v>5</v>
      </c>
      <c r="BG11" s="194">
        <f t="shared" si="2"/>
        <v>600</v>
      </c>
      <c r="BH11" s="194">
        <f t="shared" si="3"/>
        <v>1022.5000000000001</v>
      </c>
      <c r="BI11" s="194" t="s">
        <v>65</v>
      </c>
      <c r="BJ11" s="194" t="s">
        <v>107</v>
      </c>
      <c r="BK11" s="38"/>
      <c r="BL11" s="38"/>
      <c r="BM11" s="38"/>
    </row>
    <row r="12" spans="1:65" ht="30">
      <c r="A12" s="244"/>
      <c r="B12" s="334" t="s">
        <v>1446</v>
      </c>
      <c r="C12" s="167" t="s">
        <v>541</v>
      </c>
      <c r="D12" s="341" t="s">
        <v>1486</v>
      </c>
      <c r="E12" s="336" t="s">
        <v>1496</v>
      </c>
      <c r="F12" s="167" t="s">
        <v>335</v>
      </c>
      <c r="G12" s="167">
        <v>11110683</v>
      </c>
      <c r="H12" s="167"/>
      <c r="I12" s="167"/>
      <c r="J12" s="182"/>
      <c r="K12" s="184"/>
      <c r="L12" s="344"/>
      <c r="M12" s="344"/>
      <c r="N12" s="344"/>
      <c r="O12" s="344"/>
      <c r="P12" s="344"/>
      <c r="Q12" s="344"/>
      <c r="R12" s="344"/>
      <c r="S12" s="344"/>
      <c r="T12" s="342" t="s">
        <v>1497</v>
      </c>
      <c r="U12" s="342"/>
      <c r="V12" s="182"/>
      <c r="W12" s="342"/>
      <c r="X12" s="182" t="s">
        <v>1498</v>
      </c>
      <c r="Y12" s="342"/>
      <c r="Z12" s="182" t="s">
        <v>1499</v>
      </c>
      <c r="AA12" s="287" t="s">
        <v>1500</v>
      </c>
      <c r="AB12" s="167"/>
      <c r="AC12" s="167"/>
      <c r="AD12" s="257"/>
      <c r="AE12" s="257"/>
      <c r="AF12" s="167"/>
      <c r="AG12" s="257"/>
      <c r="AH12" s="257"/>
      <c r="AI12" s="176"/>
      <c r="AJ12" s="167"/>
      <c r="AK12" s="257"/>
      <c r="AL12" s="167"/>
      <c r="AM12" s="167"/>
      <c r="AN12" s="257">
        <v>33683</v>
      </c>
      <c r="AO12" s="258">
        <v>75.989999999999995</v>
      </c>
      <c r="AP12" s="175">
        <f t="shared" si="0"/>
        <v>171.14864864864865</v>
      </c>
      <c r="AQ12" s="188" t="s">
        <v>1447</v>
      </c>
      <c r="AR12" s="188" t="s">
        <v>1448</v>
      </c>
      <c r="AS12" s="359">
        <v>4.6875</v>
      </c>
      <c r="AT12" s="359">
        <v>4.6875</v>
      </c>
      <c r="AU12" s="359">
        <v>9.5</v>
      </c>
      <c r="AV12" s="358">
        <f>(AU12*AT12*AS12)/1728</f>
        <v>0.12079874674479167</v>
      </c>
      <c r="AW12" s="359">
        <f>2.92+0.1</f>
        <v>3.02</v>
      </c>
      <c r="AX12" s="359">
        <v>14.805999999999999</v>
      </c>
      <c r="AY12" s="359">
        <v>10.055999999999999</v>
      </c>
      <c r="AZ12" s="359">
        <v>10.362</v>
      </c>
      <c r="BA12" s="358">
        <f t="shared" si="1"/>
        <v>0.89281783983333318</v>
      </c>
      <c r="BB12" s="359">
        <f>AW12*BD12+0.25</f>
        <v>18.37</v>
      </c>
      <c r="BC12" s="264"/>
      <c r="BD12" s="194">
        <v>6</v>
      </c>
      <c r="BE12" s="194">
        <v>12</v>
      </c>
      <c r="BF12" s="194">
        <v>4</v>
      </c>
      <c r="BG12" s="194">
        <f t="shared" si="2"/>
        <v>288</v>
      </c>
      <c r="BH12" s="194">
        <f t="shared" si="3"/>
        <v>931.76</v>
      </c>
      <c r="BI12" s="265" t="s">
        <v>240</v>
      </c>
      <c r="BJ12" s="194" t="s">
        <v>107</v>
      </c>
      <c r="BK12" s="38"/>
      <c r="BL12" s="38"/>
      <c r="BM12" s="38"/>
    </row>
    <row r="13" spans="1:65" ht="30">
      <c r="A13" s="244"/>
      <c r="B13" s="334" t="s">
        <v>1452</v>
      </c>
      <c r="C13" s="167" t="s">
        <v>541</v>
      </c>
      <c r="D13" s="328" t="s">
        <v>1307</v>
      </c>
      <c r="E13" s="337" t="s">
        <v>1501</v>
      </c>
      <c r="F13" s="167" t="s">
        <v>94</v>
      </c>
      <c r="G13" s="167" t="s">
        <v>1502</v>
      </c>
      <c r="H13" s="167"/>
      <c r="I13" s="167"/>
      <c r="J13" s="182"/>
      <c r="K13" s="184"/>
      <c r="L13" s="344"/>
      <c r="M13" s="344"/>
      <c r="N13" s="344"/>
      <c r="O13" s="344"/>
      <c r="P13" s="344"/>
      <c r="Q13" s="344"/>
      <c r="R13" s="344"/>
      <c r="S13" s="344"/>
      <c r="T13" s="342" t="s">
        <v>1503</v>
      </c>
      <c r="U13" s="342"/>
      <c r="V13" s="182"/>
      <c r="W13" s="342"/>
      <c r="X13" s="182"/>
      <c r="Y13" s="342"/>
      <c r="Z13" s="182" t="s">
        <v>1504</v>
      </c>
      <c r="AA13" s="287"/>
      <c r="AB13" s="167"/>
      <c r="AC13" s="167"/>
      <c r="AD13" s="257"/>
      <c r="AE13" s="257"/>
      <c r="AF13" s="167"/>
      <c r="AG13" s="167"/>
      <c r="AH13" s="257"/>
      <c r="AI13" s="176"/>
      <c r="AJ13" s="167"/>
      <c r="AK13" s="167"/>
      <c r="AL13" s="167"/>
      <c r="AM13" s="167"/>
      <c r="AN13" s="257">
        <v>57307</v>
      </c>
      <c r="AO13" s="258">
        <v>47.42</v>
      </c>
      <c r="AP13" s="175">
        <f t="shared" si="0"/>
        <v>106.8018018018018</v>
      </c>
      <c r="AQ13" s="266" t="s">
        <v>1453</v>
      </c>
      <c r="AR13" s="266" t="s">
        <v>1454</v>
      </c>
      <c r="AS13" s="355">
        <v>5.1875</v>
      </c>
      <c r="AT13" s="356">
        <v>5.1875</v>
      </c>
      <c r="AU13" s="356">
        <v>14.75</v>
      </c>
      <c r="AV13" s="288">
        <f>(AU13*AT13*AS13)/1728</f>
        <v>0.22970185456452547</v>
      </c>
      <c r="AW13" s="357">
        <v>4.83</v>
      </c>
      <c r="AX13" s="359">
        <v>16.493500000000001</v>
      </c>
      <c r="AY13" s="359">
        <v>11.118499999999999</v>
      </c>
      <c r="AZ13" s="359">
        <v>15.612</v>
      </c>
      <c r="BA13" s="358">
        <f t="shared" si="1"/>
        <v>1.6568142823246528</v>
      </c>
      <c r="BB13" s="359">
        <f>AW13*BD13+0.4</f>
        <v>29.38</v>
      </c>
      <c r="BC13" s="264" t="s">
        <v>68</v>
      </c>
      <c r="BD13" s="194">
        <v>6</v>
      </c>
      <c r="BE13" s="194">
        <v>9</v>
      </c>
      <c r="BF13" s="194">
        <v>2</v>
      </c>
      <c r="BG13" s="194">
        <f t="shared" si="2"/>
        <v>108</v>
      </c>
      <c r="BH13" s="194">
        <f t="shared" si="3"/>
        <v>578.84</v>
      </c>
      <c r="BI13" s="194" t="s">
        <v>65</v>
      </c>
      <c r="BJ13" s="194" t="s">
        <v>107</v>
      </c>
      <c r="BK13" s="38"/>
      <c r="BL13" s="38"/>
      <c r="BM13" s="38"/>
    </row>
    <row r="14" spans="1:65">
      <c r="A14" s="244"/>
      <c r="B14" s="333" t="s">
        <v>1443</v>
      </c>
      <c r="C14" s="257" t="s">
        <v>541</v>
      </c>
      <c r="D14" s="328" t="s">
        <v>1242</v>
      </c>
      <c r="E14" s="336" t="s">
        <v>1505</v>
      </c>
      <c r="F14" s="167"/>
      <c r="G14" s="167"/>
      <c r="H14" s="167"/>
      <c r="I14" s="167"/>
      <c r="J14" s="182"/>
      <c r="K14" s="184"/>
      <c r="L14" s="344"/>
      <c r="M14" s="344"/>
      <c r="N14" s="344"/>
      <c r="O14" s="344"/>
      <c r="P14" s="344"/>
      <c r="Q14" s="344"/>
      <c r="R14" s="344"/>
      <c r="S14" s="344"/>
      <c r="T14" s="342"/>
      <c r="U14" s="342"/>
      <c r="V14" s="182"/>
      <c r="W14" s="342"/>
      <c r="X14" s="182"/>
      <c r="Y14" s="342"/>
      <c r="Z14" s="182"/>
      <c r="AA14" s="287"/>
      <c r="AB14" s="167"/>
      <c r="AC14" s="167"/>
      <c r="AD14" s="167"/>
      <c r="AE14" s="257"/>
      <c r="AF14" s="167"/>
      <c r="AG14" s="257"/>
      <c r="AH14" s="257"/>
      <c r="AI14" s="176"/>
      <c r="AJ14" s="167"/>
      <c r="AK14" s="167"/>
      <c r="AL14" s="167"/>
      <c r="AM14" s="167"/>
      <c r="AN14" s="257"/>
      <c r="AO14" s="258">
        <v>26.68</v>
      </c>
      <c r="AP14" s="175">
        <f t="shared" si="0"/>
        <v>60.090090090090087</v>
      </c>
      <c r="AQ14" s="188" t="s">
        <v>1444</v>
      </c>
      <c r="AR14" s="188" t="s">
        <v>1445</v>
      </c>
      <c r="AS14" s="359">
        <v>3.4224999999999999</v>
      </c>
      <c r="AT14" s="359">
        <v>3.423</v>
      </c>
      <c r="AU14" s="359">
        <v>5.9074999999999998</v>
      </c>
      <c r="AV14" s="358">
        <f>(AU14*AT14*AS14)/1728</f>
        <v>4.0050721864149305E-2</v>
      </c>
      <c r="AW14" s="359">
        <v>0.9</v>
      </c>
      <c r="AX14" s="359">
        <v>12.875</v>
      </c>
      <c r="AY14" s="359">
        <v>9.75</v>
      </c>
      <c r="AZ14" s="359">
        <v>5.4375</v>
      </c>
      <c r="BA14" s="358">
        <f t="shared" si="1"/>
        <v>0.39500935872395831</v>
      </c>
      <c r="BB14" s="359">
        <f>AW14*BD14+0.25</f>
        <v>11.05</v>
      </c>
      <c r="BC14" s="264" t="s">
        <v>68</v>
      </c>
      <c r="BD14" s="194">
        <v>12</v>
      </c>
      <c r="BE14" s="194">
        <v>14</v>
      </c>
      <c r="BF14" s="194">
        <v>6</v>
      </c>
      <c r="BG14" s="194">
        <f t="shared" si="2"/>
        <v>1008</v>
      </c>
      <c r="BH14" s="194">
        <f t="shared" si="3"/>
        <v>978.2</v>
      </c>
      <c r="BI14" s="265" t="s">
        <v>65</v>
      </c>
      <c r="BJ14" s="194" t="s">
        <v>107</v>
      </c>
      <c r="BK14" s="38"/>
      <c r="BL14" s="38"/>
      <c r="BM14" s="38"/>
    </row>
    <row r="15" spans="1:65" ht="60">
      <c r="A15" s="244"/>
      <c r="B15" s="334" t="s">
        <v>1506</v>
      </c>
      <c r="C15" s="167" t="s">
        <v>541</v>
      </c>
      <c r="D15" s="328" t="s">
        <v>1507</v>
      </c>
      <c r="E15" s="340" t="s">
        <v>1508</v>
      </c>
      <c r="F15" s="287"/>
      <c r="G15" s="326"/>
      <c r="H15" s="167"/>
      <c r="I15" s="327"/>
      <c r="J15" s="182"/>
      <c r="K15" s="184"/>
      <c r="L15" s="344"/>
      <c r="M15" s="344"/>
      <c r="N15" s="344"/>
      <c r="O15" s="344"/>
      <c r="P15" s="344"/>
      <c r="Q15" s="344"/>
      <c r="R15" s="344"/>
      <c r="S15" s="344"/>
      <c r="T15" s="342"/>
      <c r="U15" s="342"/>
      <c r="V15" s="182"/>
      <c r="W15" s="342"/>
      <c r="X15" s="182"/>
      <c r="Y15" s="342"/>
      <c r="Z15" s="182"/>
      <c r="AA15" s="287"/>
      <c r="AB15" s="167"/>
      <c r="AC15" s="167"/>
      <c r="AD15" s="167"/>
      <c r="AE15" s="257"/>
      <c r="AF15" s="167"/>
      <c r="AG15" s="257"/>
      <c r="AH15" s="257"/>
      <c r="AI15" s="176"/>
      <c r="AJ15" s="167"/>
      <c r="AK15" s="167"/>
      <c r="AL15" s="167"/>
      <c r="AM15" s="167"/>
      <c r="AN15" s="257"/>
      <c r="AO15" s="258">
        <v>95.66</v>
      </c>
      <c r="AP15" s="175">
        <f t="shared" si="0"/>
        <v>215.45045045045043</v>
      </c>
      <c r="AQ15" s="266" t="s">
        <v>1509</v>
      </c>
      <c r="AR15" s="266" t="s">
        <v>1510</v>
      </c>
      <c r="AS15" s="299" t="s">
        <v>662</v>
      </c>
      <c r="AT15" s="300"/>
      <c r="AU15" s="300"/>
      <c r="AV15" s="300"/>
      <c r="AW15" s="301"/>
      <c r="AX15" s="359">
        <v>10.25</v>
      </c>
      <c r="AY15" s="359">
        <v>7.75</v>
      </c>
      <c r="AZ15" s="359">
        <v>10.5</v>
      </c>
      <c r="BA15" s="358">
        <f t="shared" si="1"/>
        <v>0.4826931423611111</v>
      </c>
      <c r="BB15" s="359">
        <f>1.32+1.54+1.04+1.25+0.4</f>
        <v>5.5500000000000007</v>
      </c>
      <c r="BC15" s="264"/>
      <c r="BD15" s="194">
        <v>1</v>
      </c>
      <c r="BE15" s="194">
        <v>22</v>
      </c>
      <c r="BF15" s="194">
        <v>4</v>
      </c>
      <c r="BG15" s="194">
        <f t="shared" si="2"/>
        <v>88</v>
      </c>
      <c r="BH15" s="194">
        <f t="shared" si="3"/>
        <v>538.40000000000009</v>
      </c>
      <c r="BI15" s="194" t="s">
        <v>65</v>
      </c>
      <c r="BJ15" s="194" t="s">
        <v>107</v>
      </c>
      <c r="BK15" s="306"/>
      <c r="BL15" s="38"/>
      <c r="BM15" s="38"/>
    </row>
    <row r="16" spans="1:65" ht="75">
      <c r="A16" s="244"/>
      <c r="B16" s="335" t="s">
        <v>1511</v>
      </c>
      <c r="C16" s="167" t="s">
        <v>541</v>
      </c>
      <c r="D16" s="328" t="s">
        <v>1512</v>
      </c>
      <c r="E16" s="339" t="s">
        <v>1513</v>
      </c>
      <c r="F16" s="287" t="s">
        <v>1514</v>
      </c>
      <c r="G16" s="186">
        <v>29537965</v>
      </c>
      <c r="H16" s="167" t="s">
        <v>1515</v>
      </c>
      <c r="I16" s="249">
        <v>29537965</v>
      </c>
      <c r="J16" s="182"/>
      <c r="K16" s="184"/>
      <c r="L16" s="344"/>
      <c r="M16" s="344"/>
      <c r="N16" s="344"/>
      <c r="O16" s="344"/>
      <c r="P16" s="344"/>
      <c r="Q16" s="344"/>
      <c r="R16" s="344"/>
      <c r="S16" s="344"/>
      <c r="T16" s="342">
        <v>20016</v>
      </c>
      <c r="U16" s="342"/>
      <c r="V16" s="182">
        <v>96065</v>
      </c>
      <c r="W16" s="342"/>
      <c r="X16" s="182"/>
      <c r="Y16" s="342"/>
      <c r="Z16" s="182" t="s">
        <v>1516</v>
      </c>
      <c r="AA16" s="287" t="s">
        <v>1517</v>
      </c>
      <c r="AB16" s="167" t="s">
        <v>1518</v>
      </c>
      <c r="AC16" s="167"/>
      <c r="AD16" s="167"/>
      <c r="AE16" s="257"/>
      <c r="AF16" s="167"/>
      <c r="AG16" s="257"/>
      <c r="AH16" s="257"/>
      <c r="AI16" s="354" t="s">
        <v>1519</v>
      </c>
      <c r="AJ16" s="167" t="s">
        <v>1520</v>
      </c>
      <c r="AK16" s="167"/>
      <c r="AL16" s="167">
        <v>82145</v>
      </c>
      <c r="AM16" s="167">
        <v>82145</v>
      </c>
      <c r="AN16" s="257">
        <v>58970</v>
      </c>
      <c r="AO16" s="286">
        <v>35.29</v>
      </c>
      <c r="AP16" s="175">
        <f t="shared" si="0"/>
        <v>79.481981981981974</v>
      </c>
      <c r="AQ16" s="266" t="s">
        <v>1521</v>
      </c>
      <c r="AR16" s="266" t="s">
        <v>1522</v>
      </c>
      <c r="AS16" s="275" t="s">
        <v>720</v>
      </c>
      <c r="AT16" s="303"/>
      <c r="AU16" s="303"/>
      <c r="AV16" s="303"/>
      <c r="AW16" s="304"/>
      <c r="AX16" s="359">
        <v>20.625</v>
      </c>
      <c r="AY16" s="359">
        <v>14.625</v>
      </c>
      <c r="AZ16" s="359">
        <v>5.9370000000000003</v>
      </c>
      <c r="BA16" s="358">
        <f t="shared" si="1"/>
        <v>1.036365966796875</v>
      </c>
      <c r="BB16" s="359">
        <f>1.2*BD16+0.25</f>
        <v>7.4499999999999993</v>
      </c>
      <c r="BC16" s="264"/>
      <c r="BD16" s="194">
        <v>6</v>
      </c>
      <c r="BE16" s="194">
        <v>6</v>
      </c>
      <c r="BF16" s="194">
        <v>6</v>
      </c>
      <c r="BG16" s="194">
        <f t="shared" si="2"/>
        <v>216</v>
      </c>
      <c r="BH16" s="194">
        <f t="shared" si="3"/>
        <v>318.2</v>
      </c>
      <c r="BI16" s="194" t="s">
        <v>240</v>
      </c>
      <c r="BJ16" s="194" t="s">
        <v>107</v>
      </c>
      <c r="BK16" s="306"/>
      <c r="BL16" s="38"/>
      <c r="BM16" s="38"/>
    </row>
    <row r="17" spans="2:65" s="146" customFormat="1">
      <c r="B17" s="142"/>
      <c r="C17" s="142"/>
      <c r="D17" s="142"/>
      <c r="E17" s="142"/>
      <c r="F17" s="142"/>
      <c r="G17" s="89"/>
      <c r="H17" s="11"/>
      <c r="I17" s="11"/>
      <c r="J17" s="11"/>
      <c r="T17" s="11"/>
      <c r="Z17" s="11"/>
      <c r="AA17" s="11"/>
      <c r="AO17" s="143"/>
      <c r="AP17" s="144"/>
      <c r="AQ17" s="11"/>
      <c r="AS17" s="86"/>
      <c r="AT17" s="86"/>
      <c r="AU17" s="86"/>
      <c r="AV17" s="11"/>
      <c r="AW17" s="86"/>
      <c r="AX17" s="86"/>
      <c r="AY17" s="86"/>
      <c r="AZ17" s="86"/>
      <c r="BA17" s="11"/>
      <c r="BB17" s="86"/>
      <c r="BC17" s="11"/>
      <c r="BD17" s="11"/>
      <c r="BI17" s="11"/>
      <c r="BJ17" s="89"/>
    </row>
    <row r="18" spans="2:65" ht="7.5" customHeight="1">
      <c r="B18" s="160"/>
      <c r="C18" s="160"/>
      <c r="D18" s="160"/>
      <c r="E18" s="160"/>
      <c r="F18" s="160"/>
      <c r="G18" s="16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1"/>
      <c r="U18" s="162"/>
      <c r="V18" s="162"/>
      <c r="W18" s="162"/>
      <c r="X18" s="162"/>
      <c r="Y18" s="162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3"/>
      <c r="AP18" s="164"/>
      <c r="AQ18" s="161"/>
      <c r="AR18" s="162"/>
      <c r="AS18" s="165"/>
      <c r="AT18" s="165"/>
      <c r="AU18" s="165"/>
      <c r="AV18" s="161"/>
      <c r="AW18" s="165"/>
      <c r="AX18" s="165"/>
      <c r="AY18" s="165"/>
      <c r="AZ18" s="165"/>
      <c r="BA18" s="161"/>
      <c r="BB18" s="165"/>
      <c r="BC18" s="161"/>
      <c r="BD18" s="161"/>
      <c r="BE18" s="162"/>
      <c r="BF18" s="162"/>
      <c r="BG18" s="162"/>
      <c r="BH18" s="162"/>
      <c r="BI18" s="161"/>
      <c r="BJ18" s="166"/>
      <c r="BK18" s="162"/>
      <c r="BL18" s="146"/>
      <c r="BM18" s="146"/>
    </row>
    <row r="19" spans="2:65" ht="7.5" customHeight="1">
      <c r="B19" s="142"/>
      <c r="C19" s="142"/>
      <c r="D19" s="142"/>
      <c r="E19" s="142"/>
      <c r="F19" s="142"/>
      <c r="G19" s="142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U19" s="146"/>
      <c r="V19" s="146"/>
      <c r="W19" s="146"/>
      <c r="X19" s="146"/>
      <c r="Y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3"/>
      <c r="AP19" s="144"/>
      <c r="AR19" s="146"/>
      <c r="AS19" s="86"/>
      <c r="AT19" s="86"/>
      <c r="AU19" s="86"/>
      <c r="AW19" s="86"/>
      <c r="AX19" s="86"/>
      <c r="AY19" s="86"/>
      <c r="AZ19" s="86"/>
      <c r="BB19" s="86"/>
      <c r="BE19" s="146"/>
      <c r="BF19" s="146"/>
      <c r="BG19" s="146"/>
      <c r="BH19" s="146"/>
      <c r="BJ19" s="89"/>
      <c r="BK19" s="146"/>
      <c r="BL19" s="146"/>
      <c r="BM19" s="146"/>
    </row>
    <row r="20" spans="2:65" ht="23.25">
      <c r="B20" s="142"/>
      <c r="C20" s="142"/>
      <c r="D20" s="142"/>
      <c r="E20" s="159" t="s">
        <v>542</v>
      </c>
      <c r="G20" s="142"/>
      <c r="U20" s="146"/>
      <c r="V20" s="146"/>
      <c r="W20" s="146"/>
      <c r="Y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3"/>
      <c r="AP20" s="144"/>
      <c r="AR20" s="146"/>
      <c r="AS20" s="86"/>
      <c r="AT20" s="86"/>
      <c r="AU20" s="86"/>
      <c r="AW20" s="86"/>
      <c r="AX20" s="86"/>
      <c r="AY20" s="86"/>
      <c r="AZ20" s="86"/>
      <c r="BB20" s="86"/>
      <c r="BE20" s="146"/>
      <c r="BF20" s="146"/>
      <c r="BG20" s="146"/>
      <c r="BH20" s="146"/>
      <c r="BJ20" s="89"/>
      <c r="BK20" s="146"/>
      <c r="BL20" s="146"/>
      <c r="BM20" s="146"/>
    </row>
    <row r="21" spans="2:65" s="146" customFormat="1">
      <c r="B21" s="142"/>
      <c r="C21" s="142"/>
      <c r="D21" s="142"/>
      <c r="E21" s="142"/>
      <c r="F21" s="142"/>
      <c r="G21" s="14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43"/>
      <c r="AP21" s="144"/>
      <c r="AQ21" s="11"/>
      <c r="AR21" s="11"/>
      <c r="AS21" s="86"/>
      <c r="AT21" s="86"/>
      <c r="AU21" s="86"/>
      <c r="AV21" s="11"/>
      <c r="AW21" s="86"/>
      <c r="AX21" s="86"/>
      <c r="AY21" s="86"/>
      <c r="AZ21" s="86"/>
      <c r="BA21" s="11"/>
      <c r="BB21" s="86"/>
      <c r="BC21" s="11"/>
      <c r="BD21" s="11"/>
      <c r="BE21" s="11"/>
      <c r="BF21" s="11"/>
      <c r="BI21" s="11"/>
      <c r="BJ21" s="89"/>
      <c r="BK21" s="11"/>
      <c r="BL21" s="11"/>
      <c r="BM21" s="11"/>
    </row>
    <row r="22" spans="2:65">
      <c r="B22" s="142"/>
      <c r="C22" s="142"/>
      <c r="D22" s="142"/>
      <c r="E22" s="30" t="s">
        <v>543</v>
      </c>
      <c r="F22" s="32" t="s">
        <v>1306</v>
      </c>
      <c r="G22" s="32" t="s">
        <v>544</v>
      </c>
      <c r="AO22" s="143"/>
      <c r="AP22" s="144"/>
      <c r="AS22" s="86"/>
      <c r="AT22" s="86"/>
      <c r="AU22" s="86"/>
      <c r="AW22" s="86"/>
      <c r="AX22" s="86"/>
      <c r="AY22" s="86"/>
      <c r="AZ22" s="86"/>
      <c r="BB22" s="86"/>
      <c r="BG22" s="146"/>
      <c r="BH22" s="146"/>
      <c r="BJ22" s="89"/>
    </row>
    <row r="23" spans="2:65">
      <c r="B23" s="151"/>
      <c r="C23" s="151"/>
      <c r="D23" s="207"/>
      <c r="E23" s="269"/>
      <c r="F23" s="258"/>
      <c r="G23" s="258"/>
      <c r="AO23" s="143"/>
      <c r="AP23" s="144"/>
      <c r="AS23" s="86"/>
      <c r="AT23" s="86"/>
      <c r="AU23" s="86"/>
      <c r="AW23" s="86"/>
      <c r="AX23" s="86"/>
      <c r="AY23" s="86"/>
      <c r="AZ23" s="86"/>
      <c r="BB23" s="86"/>
      <c r="BG23" s="146"/>
      <c r="BH23" s="146"/>
      <c r="BJ23" s="89"/>
    </row>
    <row r="24" spans="2:65">
      <c r="B24" s="151"/>
      <c r="C24" s="151"/>
      <c r="D24" s="207"/>
      <c r="E24" s="269"/>
      <c r="F24" s="258"/>
      <c r="G24" s="258"/>
      <c r="AO24" s="143"/>
      <c r="AP24" s="144"/>
      <c r="AS24" s="86"/>
      <c r="AT24" s="86"/>
      <c r="AU24" s="86"/>
      <c r="AW24" s="86"/>
      <c r="AX24" s="86"/>
      <c r="AY24" s="86"/>
      <c r="AZ24" s="86"/>
      <c r="BB24" s="86"/>
      <c r="BG24" s="146"/>
      <c r="BH24" s="146"/>
      <c r="BJ24" s="89"/>
    </row>
    <row r="25" spans="2:65">
      <c r="B25" s="151"/>
      <c r="C25" s="151"/>
      <c r="D25" s="151"/>
      <c r="E25" s="269"/>
      <c r="F25" s="258"/>
      <c r="G25" s="258"/>
      <c r="AO25" s="143"/>
      <c r="AP25" s="144"/>
      <c r="AS25" s="86"/>
      <c r="AT25" s="86"/>
      <c r="AU25" s="86"/>
      <c r="AW25" s="86"/>
      <c r="AX25" s="86"/>
      <c r="AY25" s="86"/>
      <c r="AZ25" s="86"/>
      <c r="BB25" s="86"/>
      <c r="BG25" s="146"/>
      <c r="BH25" s="146"/>
      <c r="BJ25" s="89"/>
    </row>
    <row r="26" spans="2:65">
      <c r="B26" s="151"/>
      <c r="C26" s="151"/>
      <c r="D26" s="151"/>
      <c r="E26" s="269"/>
      <c r="F26" s="258"/>
      <c r="G26" s="258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U26" s="146"/>
      <c r="V26" s="146"/>
      <c r="W26" s="146"/>
      <c r="X26" s="146"/>
      <c r="Y26" s="146"/>
      <c r="AD26" s="146"/>
      <c r="AE26" s="146"/>
      <c r="AF26" s="146"/>
      <c r="AG26" s="146"/>
      <c r="AH26" s="146"/>
      <c r="AI26" s="146"/>
      <c r="AL26" s="146"/>
      <c r="AM26" s="146"/>
      <c r="AN26" s="146"/>
      <c r="AO26" s="143"/>
      <c r="AP26" s="144"/>
      <c r="AR26" s="146"/>
      <c r="AS26" s="86"/>
      <c r="AT26" s="86"/>
      <c r="AU26" s="86"/>
      <c r="AW26" s="86"/>
      <c r="AX26" s="86"/>
      <c r="AY26" s="86"/>
      <c r="AZ26" s="86"/>
      <c r="BB26" s="86"/>
      <c r="BE26" s="146"/>
      <c r="BF26" s="146"/>
      <c r="BG26" s="146"/>
      <c r="BH26" s="146"/>
      <c r="BJ26" s="89"/>
      <c r="BK26" s="146"/>
      <c r="BL26" s="146"/>
      <c r="BM26" s="146"/>
    </row>
    <row r="27" spans="2:65">
      <c r="B27" s="142"/>
      <c r="C27" s="142"/>
      <c r="D27" s="142"/>
      <c r="E27" s="142"/>
      <c r="F27" s="142"/>
      <c r="G27" s="142"/>
      <c r="AP27" s="144"/>
      <c r="AQ27" s="146"/>
      <c r="BH27" s="146"/>
      <c r="BJ27" s="89"/>
    </row>
    <row r="28" spans="2:65" ht="7.5" customHeight="1">
      <c r="B28" s="160"/>
      <c r="C28" s="160"/>
      <c r="D28" s="160"/>
      <c r="E28" s="160"/>
      <c r="F28" s="160"/>
      <c r="G28" s="160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U28" s="146"/>
      <c r="V28" s="146"/>
      <c r="W28" s="146"/>
      <c r="X28" s="146"/>
      <c r="Y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3"/>
      <c r="AP28" s="144"/>
      <c r="AR28" s="146"/>
      <c r="AS28" s="86"/>
      <c r="AT28" s="86"/>
      <c r="AU28" s="86"/>
      <c r="AW28" s="86"/>
      <c r="AX28" s="86"/>
      <c r="AY28" s="86"/>
      <c r="AZ28" s="86"/>
      <c r="BB28" s="86"/>
      <c r="BE28" s="146"/>
      <c r="BF28" s="146"/>
      <c r="BG28" s="146"/>
      <c r="BH28" s="146"/>
      <c r="BJ28" s="89"/>
      <c r="BK28" s="146"/>
      <c r="BL28" s="146"/>
      <c r="BM28" s="146"/>
    </row>
    <row r="29" spans="2:65" ht="7.5" customHeight="1">
      <c r="B29" s="142"/>
      <c r="C29" s="142"/>
      <c r="D29" s="142"/>
      <c r="E29" s="142"/>
      <c r="F29" s="142"/>
      <c r="G29" s="142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U29" s="146"/>
      <c r="V29" s="146"/>
      <c r="W29" s="146"/>
      <c r="X29" s="146"/>
      <c r="Y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3"/>
      <c r="AP29" s="144"/>
      <c r="AR29" s="146"/>
      <c r="AS29" s="86"/>
      <c r="AT29" s="86"/>
      <c r="AU29" s="86"/>
      <c r="AW29" s="86"/>
      <c r="AX29" s="86"/>
      <c r="AY29" s="86"/>
      <c r="AZ29" s="86"/>
      <c r="BB29" s="86"/>
      <c r="BE29" s="146"/>
      <c r="BF29" s="146"/>
      <c r="BG29" s="146"/>
      <c r="BH29" s="146"/>
      <c r="BJ29" s="89"/>
      <c r="BK29" s="146"/>
      <c r="BL29" s="146"/>
      <c r="BM29" s="146"/>
    </row>
    <row r="30" spans="2:65" ht="23.25">
      <c r="B30" s="142"/>
      <c r="C30" s="142"/>
      <c r="D30" s="142"/>
      <c r="E30" s="173" t="s">
        <v>548</v>
      </c>
      <c r="G30" s="142"/>
      <c r="AP30" s="144"/>
      <c r="AQ30" s="146"/>
      <c r="BH30" s="146"/>
      <c r="BJ30" s="89"/>
    </row>
    <row r="31" spans="2:65" ht="16.5" customHeight="1">
      <c r="B31" s="142"/>
      <c r="C31" s="142"/>
      <c r="D31" s="142"/>
      <c r="E31" s="142"/>
      <c r="F31" s="158"/>
      <c r="G31" s="142"/>
      <c r="AP31" s="144"/>
      <c r="AQ31" s="146"/>
      <c r="BH31" s="146"/>
      <c r="BJ31" s="89"/>
    </row>
    <row r="32" spans="2:65" s="136" customFormat="1">
      <c r="B32" s="11"/>
      <c r="C32" s="11"/>
      <c r="D32" s="11"/>
      <c r="E32" s="30" t="s">
        <v>546</v>
      </c>
      <c r="F32" s="171" t="s">
        <v>547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43"/>
      <c r="AP32" s="144"/>
      <c r="AQ32" s="146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46"/>
      <c r="BI32" s="11"/>
      <c r="BJ32" s="11"/>
      <c r="BK32" s="11"/>
      <c r="BL32" s="11"/>
      <c r="BM32" s="11"/>
    </row>
    <row r="33" spans="2:65">
      <c r="B33" s="155"/>
      <c r="C33" s="152"/>
      <c r="D33" s="152"/>
      <c r="E33" s="167"/>
      <c r="F33" s="172"/>
      <c r="G33" s="170"/>
      <c r="AO33" s="143"/>
      <c r="AP33" s="144"/>
      <c r="AQ33" s="146"/>
      <c r="BH33" s="146"/>
    </row>
    <row r="34" spans="2:65">
      <c r="B34" s="168"/>
      <c r="C34" s="152"/>
      <c r="D34" s="152"/>
      <c r="E34" s="167"/>
      <c r="F34" s="169"/>
      <c r="G34" s="170"/>
      <c r="AO34" s="143"/>
      <c r="AP34" s="144"/>
      <c r="AQ34" s="146"/>
      <c r="BH34" s="146"/>
    </row>
    <row r="35" spans="2:65">
      <c r="B35" s="168"/>
      <c r="C35" s="152"/>
      <c r="D35" s="152"/>
      <c r="E35" s="167"/>
      <c r="F35" s="169"/>
      <c r="G35" s="170"/>
      <c r="U35" s="146"/>
      <c r="V35" s="146"/>
      <c r="W35" s="146"/>
      <c r="Y35" s="146"/>
      <c r="AA35" s="146"/>
      <c r="AB35" s="146"/>
      <c r="AD35" s="146"/>
      <c r="AE35" s="146"/>
      <c r="AG35" s="146"/>
      <c r="AH35" s="146"/>
      <c r="AI35" s="146"/>
      <c r="AJ35" s="146"/>
      <c r="AK35" s="146"/>
      <c r="AL35" s="146"/>
      <c r="AM35" s="146"/>
      <c r="AN35" s="146"/>
      <c r="AO35" s="143"/>
      <c r="AP35" s="144"/>
      <c r="AQ35" s="146"/>
      <c r="AR35" s="146"/>
      <c r="AT35" s="146"/>
      <c r="AU35" s="146"/>
      <c r="AV35" s="146"/>
      <c r="AW35" s="146"/>
      <c r="AX35" s="146"/>
      <c r="AY35" s="146"/>
      <c r="AZ35" s="146"/>
      <c r="BA35" s="146"/>
      <c r="BB35" s="146"/>
      <c r="BD35" s="146"/>
      <c r="BE35" s="146"/>
      <c r="BF35" s="146"/>
      <c r="BG35" s="146"/>
      <c r="BH35" s="146"/>
      <c r="BI35" s="146"/>
      <c r="BJ35" s="89"/>
      <c r="BK35" s="146"/>
      <c r="BL35" s="146"/>
      <c r="BM35" s="146"/>
    </row>
    <row r="36" spans="2:65" s="136" customFormat="1">
      <c r="B36" s="155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2:65" s="136" customFormat="1">
      <c r="B37" s="155"/>
      <c r="C37" s="151"/>
      <c r="D37" s="152"/>
      <c r="E37" s="167"/>
      <c r="F37" s="172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2:65" s="136" customFormat="1">
      <c r="B38" s="155"/>
      <c r="C38" s="152"/>
      <c r="D38" s="152"/>
      <c r="E38" s="167"/>
      <c r="F38" s="172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2:65" s="136" customFormat="1">
      <c r="B39" s="155"/>
      <c r="C39" s="152"/>
      <c r="D39" s="152"/>
      <c r="E39" s="167"/>
      <c r="F39" s="172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2:65" s="136" customFormat="1">
      <c r="B40" s="168"/>
      <c r="C40" s="152"/>
      <c r="D40" s="152"/>
      <c r="E40" s="167"/>
      <c r="F40" s="169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2:65" s="136" customFormat="1">
      <c r="B41" s="168"/>
      <c r="C41" s="152"/>
      <c r="D41" s="152"/>
      <c r="E41" s="167"/>
      <c r="F41" s="169"/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2:65" s="136" customFormat="1">
      <c r="B42" s="168"/>
      <c r="C42" s="152"/>
      <c r="D42" s="152"/>
      <c r="E42" s="167"/>
      <c r="F42" s="169"/>
      <c r="G42" s="17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2:65" s="136" customFormat="1">
      <c r="B43" s="168"/>
      <c r="C43" s="152"/>
      <c r="D43" s="152"/>
      <c r="E43" s="167"/>
      <c r="F43" s="169"/>
      <c r="G43" s="17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2:65" s="136" customFormat="1">
      <c r="B44" s="155"/>
      <c r="C44" s="152"/>
      <c r="D44" s="152"/>
      <c r="E44" s="167"/>
      <c r="F44" s="172"/>
      <c r="G44" s="17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2:65" s="136" customFormat="1">
      <c r="B45" s="155"/>
      <c r="C45" s="152"/>
      <c r="D45" s="152"/>
      <c r="E45" s="167"/>
      <c r="F45" s="172"/>
      <c r="G45" s="17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2:65" s="136" customFormat="1">
      <c r="B46" s="155"/>
      <c r="C46" s="152"/>
      <c r="D46" s="152"/>
      <c r="E46" s="167"/>
      <c r="F46" s="172"/>
      <c r="G46" s="17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2:65" s="136" customFormat="1">
      <c r="B47" s="155"/>
      <c r="C47" s="152"/>
      <c r="D47" s="152"/>
      <c r="E47" s="167"/>
      <c r="F47" s="172"/>
      <c r="G47" s="17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2:65" s="136" customFormat="1">
      <c r="B48" s="168"/>
      <c r="C48" s="152"/>
      <c r="D48" s="152"/>
      <c r="E48" s="167"/>
      <c r="F48" s="169"/>
      <c r="G48" s="17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2:65" s="136" customFormat="1">
      <c r="B49" s="168"/>
      <c r="C49" s="152"/>
      <c r="D49" s="152"/>
      <c r="E49" s="167"/>
      <c r="F49" s="169"/>
      <c r="G49" s="17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2:65" s="136" customFormat="1">
      <c r="B50" s="155"/>
      <c r="C50" s="151"/>
      <c r="D50" s="152"/>
      <c r="E50" s="167"/>
      <c r="F50" s="172"/>
      <c r="G50" s="17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2:65" s="136" customFormat="1">
      <c r="B51" s="155"/>
      <c r="C51" s="151"/>
      <c r="D51" s="152"/>
      <c r="E51" s="167"/>
      <c r="F51" s="172"/>
      <c r="G51" s="17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2:65" s="136" customFormat="1">
      <c r="B52" s="146"/>
      <c r="C52" s="146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2:65" s="136" customFormat="1">
      <c r="B53" s="146"/>
      <c r="C53" s="146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2:65" s="136" customFormat="1">
      <c r="B54" s="146"/>
      <c r="C54" s="146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2:65" s="136" customFormat="1">
      <c r="B55" s="146"/>
      <c r="C55" s="146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2:65" s="136" customFormat="1">
      <c r="B56" s="146"/>
      <c r="C56" s="146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2:65" s="136" customFormat="1">
      <c r="B57" s="146"/>
      <c r="C57" s="146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2:65" s="136" customFormat="1">
      <c r="B58" s="146"/>
      <c r="C58" s="146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2:65" s="136" customFormat="1">
      <c r="B59" s="146"/>
      <c r="C59" s="146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2:65" s="136" customFormat="1">
      <c r="B60" s="146"/>
      <c r="C60" s="146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2:65" s="136" customFormat="1">
      <c r="B61" s="146"/>
      <c r="C61" s="146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2:65" s="136" customFormat="1">
      <c r="B62" s="146"/>
      <c r="C62" s="146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2:65" s="136" customFormat="1">
      <c r="B63" s="146"/>
      <c r="C63" s="146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2:65" s="136" customFormat="1">
      <c r="B64" s="146"/>
      <c r="C64" s="146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2:65" s="136" customFormat="1">
      <c r="B65" s="146"/>
      <c r="C65" s="146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2:65" s="136" customFormat="1">
      <c r="B66" s="146"/>
      <c r="C66" s="146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2:65" s="136" customFormat="1">
      <c r="B67" s="146"/>
      <c r="C67" s="146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2:65" s="136" customFormat="1">
      <c r="B68" s="146"/>
      <c r="C68" s="146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2:65" s="136" customFormat="1">
      <c r="B69" s="146"/>
      <c r="C69" s="146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2:65" s="136" customFormat="1">
      <c r="B70" s="146"/>
      <c r="C70" s="146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2:65" s="136" customFormat="1">
      <c r="B71" s="146"/>
      <c r="C71" s="146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2:65" s="136" customFormat="1">
      <c r="B72" s="146"/>
      <c r="C72" s="146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2:65" s="136" customFormat="1">
      <c r="B73" s="146"/>
      <c r="C73" s="146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2:65" s="136" customFormat="1">
      <c r="B74" s="146"/>
      <c r="C74" s="146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2:65" s="136" customFormat="1">
      <c r="B75" s="146"/>
      <c r="C75" s="146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2:65" s="136" customFormat="1">
      <c r="B76" s="146"/>
      <c r="C76" s="146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2:65" s="136" customFormat="1">
      <c r="B77" s="146"/>
      <c r="C77" s="146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2:65" s="136" customFormat="1">
      <c r="B78" s="146"/>
      <c r="C78" s="146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2:65" s="136" customFormat="1">
      <c r="B79" s="146"/>
      <c r="C79" s="146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2:65" s="136" customFormat="1">
      <c r="B80" s="146"/>
      <c r="C80" s="146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2:65" s="136" customFormat="1">
      <c r="B81" s="146"/>
      <c r="C81" s="146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2:65" s="136" customFormat="1">
      <c r="B82" s="146"/>
      <c r="C82" s="146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2:65" s="136" customFormat="1">
      <c r="B83" s="146"/>
      <c r="C83" s="146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2:65" s="136" customFormat="1">
      <c r="B84" s="146"/>
      <c r="C84" s="146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2:65" s="136" customFormat="1">
      <c r="B85" s="146"/>
      <c r="C85" s="146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2:65" s="136" customFormat="1">
      <c r="B86" s="146"/>
      <c r="C86" s="146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2:65" s="136" customFormat="1">
      <c r="B87" s="146"/>
      <c r="C87" s="146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2:65" s="136" customFormat="1">
      <c r="B88" s="146"/>
      <c r="C88" s="146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2:65" s="136" customFormat="1">
      <c r="B89" s="146"/>
      <c r="C89" s="146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2:65" s="136" customFormat="1">
      <c r="B90" s="146"/>
      <c r="C90" s="146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2:65" s="136" customFormat="1">
      <c r="B91" s="146"/>
      <c r="C91" s="146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2:65" s="136" customFormat="1">
      <c r="B92" s="146"/>
      <c r="C92" s="146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2:65" s="136" customFormat="1">
      <c r="B93" s="146"/>
      <c r="C93" s="146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2:65" s="136" customFormat="1">
      <c r="B94" s="146"/>
      <c r="C94" s="146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2:65" s="136" customFormat="1">
      <c r="B95" s="146"/>
      <c r="C95" s="146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2:65" s="136" customFormat="1">
      <c r="B96" s="146"/>
      <c r="C96" s="146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2:65" s="136" customFormat="1">
      <c r="B97" s="146"/>
      <c r="C97" s="146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2:65" s="136" customFormat="1">
      <c r="B98" s="146"/>
      <c r="C98" s="146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2:65" s="136" customFormat="1">
      <c r="B99" s="146"/>
      <c r="C99" s="146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2:65" s="136" customFormat="1">
      <c r="B100" s="146"/>
      <c r="C100" s="146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2:65" s="136" customFormat="1">
      <c r="B101" s="146"/>
      <c r="C101" s="146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2:65" s="136" customFormat="1">
      <c r="B102" s="146"/>
      <c r="C102" s="146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2:65" s="136" customFormat="1">
      <c r="B103" s="146"/>
      <c r="C103" s="146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2:65" s="136" customFormat="1">
      <c r="B104" s="146"/>
      <c r="C104" s="146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2:65" s="136" customFormat="1">
      <c r="B105" s="146"/>
      <c r="C105" s="146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2:65" s="136" customFormat="1">
      <c r="B106" s="146"/>
      <c r="C106" s="146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2:65" s="136" customFormat="1">
      <c r="B107" s="146"/>
      <c r="C107" s="146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2:65" s="136" customFormat="1">
      <c r="B108" s="146"/>
      <c r="C108" s="146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2:65" s="136" customFormat="1">
      <c r="B109" s="146"/>
      <c r="C109" s="146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2:65" s="136" customFormat="1">
      <c r="B110" s="146"/>
      <c r="C110" s="146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2:65" s="136" customFormat="1">
      <c r="B111" s="146"/>
      <c r="C111" s="146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2:65" s="136" customFormat="1">
      <c r="B112" s="146"/>
      <c r="C112" s="146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2:65" s="136" customFormat="1">
      <c r="B113" s="146"/>
      <c r="C113" s="146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2:65" s="136" customFormat="1">
      <c r="B114" s="146"/>
      <c r="C114" s="146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2:65" s="136" customFormat="1">
      <c r="B115" s="146"/>
      <c r="C115" s="146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2:65" s="136" customFormat="1">
      <c r="B116" s="146"/>
      <c r="C116" s="146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2:65" s="136" customFormat="1">
      <c r="B117" s="146"/>
      <c r="C117" s="146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2:65" s="136" customFormat="1">
      <c r="B118" s="146"/>
      <c r="C118" s="146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2:65" s="136" customFormat="1">
      <c r="B119" s="146"/>
      <c r="C119" s="146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2:65" s="136" customFormat="1">
      <c r="B120" s="146"/>
      <c r="C120" s="146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2:65" s="136" customFormat="1">
      <c r="B121" s="146"/>
      <c r="C121" s="146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2:65" s="136" customFormat="1">
      <c r="B122" s="146"/>
      <c r="C122" s="146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2:65" s="136" customFormat="1">
      <c r="B123" s="146"/>
      <c r="C123" s="146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2:65" s="136" customFormat="1">
      <c r="B124" s="146"/>
      <c r="C124" s="146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2:65" s="136" customFormat="1">
      <c r="B125" s="146"/>
      <c r="C125" s="146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2:65" s="136" customFormat="1">
      <c r="B126" s="146"/>
      <c r="C126" s="146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2:65" s="136" customFormat="1">
      <c r="B127" s="146"/>
      <c r="C127" s="146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2:65" s="136" customFormat="1">
      <c r="B128" s="146"/>
      <c r="C128" s="146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2:65" s="136" customFormat="1">
      <c r="B129" s="146"/>
      <c r="C129" s="146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2:65" s="136" customFormat="1">
      <c r="B130" s="146"/>
      <c r="C130" s="146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2:65" s="136" customFormat="1">
      <c r="B131" s="146"/>
      <c r="C131" s="146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2:65" s="136" customFormat="1">
      <c r="B132" s="146"/>
      <c r="C132" s="146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2:65" s="136" customFormat="1">
      <c r="B133" s="146"/>
      <c r="C133" s="146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2:65" s="136" customFormat="1">
      <c r="B134" s="146"/>
      <c r="C134" s="146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2:65" s="136" customFormat="1">
      <c r="B135" s="146"/>
      <c r="C135" s="146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2:65" s="136" customFormat="1">
      <c r="B136" s="146"/>
      <c r="C136" s="146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2:65" s="136" customFormat="1">
      <c r="B137" s="146"/>
      <c r="C137" s="146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2:65" s="136" customFormat="1">
      <c r="B138" s="146"/>
      <c r="C138" s="146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2:65" s="136" customFormat="1">
      <c r="B139" s="146"/>
      <c r="C139" s="146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2:65" s="136" customFormat="1">
      <c r="B140" s="146"/>
      <c r="C140" s="146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2:65" s="136" customFormat="1">
      <c r="B141" s="146"/>
      <c r="C141" s="146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2:65" s="136" customFormat="1">
      <c r="B142" s="146"/>
      <c r="C142" s="146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2:65" s="136" customFormat="1">
      <c r="B143" s="146"/>
      <c r="C143" s="146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2:65" s="136" customFormat="1">
      <c r="B144" s="146"/>
      <c r="C144" s="146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2:65" s="136" customFormat="1">
      <c r="B145" s="146"/>
      <c r="C145" s="146"/>
      <c r="D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2:65" s="136" customFormat="1">
      <c r="B146" s="146"/>
      <c r="C146" s="146"/>
      <c r="D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2:65" s="136" customFormat="1">
      <c r="B147" s="146"/>
      <c r="C147" s="146"/>
      <c r="D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2:65" s="136" customFormat="1">
      <c r="B148" s="146"/>
      <c r="C148" s="146"/>
      <c r="D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2:65" s="136" customFormat="1">
      <c r="B149" s="146"/>
      <c r="C149" s="146"/>
      <c r="D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2:65" s="136" customFormat="1">
      <c r="B150" s="146"/>
      <c r="C150" s="146"/>
      <c r="D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2:65" s="136" customFormat="1">
      <c r="B151" s="146"/>
      <c r="C151" s="146"/>
      <c r="D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2:65" s="136" customFormat="1">
      <c r="B152" s="146"/>
      <c r="C152" s="146"/>
      <c r="D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2:65" s="136" customFormat="1">
      <c r="B153" s="146"/>
      <c r="C153" s="146"/>
      <c r="D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2:65" s="136" customFormat="1">
      <c r="B154" s="146"/>
      <c r="C154" s="146"/>
      <c r="D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</sheetData>
  <mergeCells count="6">
    <mergeCell ref="BC4:BJ4"/>
    <mergeCell ref="T4:AN4"/>
    <mergeCell ref="AO4:AP4"/>
    <mergeCell ref="AQ4:AR4"/>
    <mergeCell ref="AS4:AW4"/>
    <mergeCell ref="AX4:BB4"/>
  </mergeCells>
  <pageMargins left="0.25" right="0.25" top="0.5" bottom="0.75" header="0.25" footer="0.25"/>
  <pageSetup scale="87" orientation="landscape" verticalDpi="598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M154"/>
  <sheetViews>
    <sheetView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5" sqref="C5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.7109375" style="11" customWidth="1"/>
    <col min="5" max="5" width="49.28515625" style="136" customWidth="1"/>
    <col min="6" max="6" width="22.7109375" style="11" customWidth="1"/>
    <col min="7" max="7" width="15.7109375" style="11" customWidth="1"/>
    <col min="8" max="8" width="14.7109375" style="11" customWidth="1"/>
    <col min="9" max="9" width="13.7109375" style="11" customWidth="1"/>
    <col min="10" max="10" width="13.42578125" style="11" customWidth="1"/>
    <col min="11" max="11" width="13.140625" style="11" customWidth="1"/>
    <col min="12" max="12" width="13.42578125" style="11" customWidth="1"/>
    <col min="13" max="13" width="13.28515625" style="11" customWidth="1"/>
    <col min="14" max="14" width="13.42578125" style="11" customWidth="1"/>
    <col min="15" max="15" width="10.7109375" style="11" customWidth="1"/>
    <col min="16" max="16" width="13.42578125" style="11" customWidth="1"/>
    <col min="17" max="17" width="9.7109375" style="11" customWidth="1"/>
    <col min="18" max="18" width="13.140625" style="11" customWidth="1"/>
    <col min="19" max="19" width="12.140625" style="11" customWidth="1"/>
    <col min="20" max="20" width="11.42578125" style="11" customWidth="1"/>
    <col min="21" max="21" width="6.140625" style="11" customWidth="1"/>
    <col min="22" max="22" width="9.7109375" style="11" customWidth="1"/>
    <col min="23" max="23" width="7.140625" style="11" customWidth="1"/>
    <col min="24" max="24" width="11.28515625" style="11" customWidth="1"/>
    <col min="25" max="25" width="9.42578125" style="11" customWidth="1"/>
    <col min="26" max="26" width="10.5703125" style="11" customWidth="1"/>
    <col min="27" max="27" width="10" style="11" customWidth="1"/>
    <col min="28" max="28" width="8.42578125" style="11" customWidth="1"/>
    <col min="29" max="29" width="12.5703125" style="11" customWidth="1"/>
    <col min="30" max="30" width="7.7109375" style="11" customWidth="1"/>
    <col min="31" max="31" width="10.28515625" style="11" customWidth="1"/>
    <col min="32" max="32" width="15.5703125" style="11" customWidth="1"/>
    <col min="33" max="33" width="9.5703125" style="11" customWidth="1"/>
    <col min="34" max="34" width="10.5703125" style="11" customWidth="1"/>
    <col min="35" max="35" width="6.5703125" style="11" bestFit="1" customWidth="1"/>
    <col min="36" max="37" width="9.28515625" style="11" customWidth="1"/>
    <col min="38" max="38" width="14.140625" style="11" customWidth="1"/>
    <col min="39" max="39" width="11" style="11" customWidth="1"/>
    <col min="40" max="40" width="9.140625" style="11" customWidth="1"/>
    <col min="41" max="41" width="13" style="11" customWidth="1"/>
    <col min="42" max="42" width="9.140625" style="11" customWidth="1"/>
    <col min="43" max="43" width="14.85546875" style="11" customWidth="1"/>
    <col min="44" max="44" width="17.140625" style="11" customWidth="1"/>
    <col min="45" max="45" width="7" style="11" bestFit="1" customWidth="1"/>
    <col min="46" max="46" width="17.85546875" style="11" customWidth="1"/>
    <col min="47" max="47" width="6.85546875" style="11" bestFit="1" customWidth="1"/>
    <col min="48" max="48" width="6.7109375" style="11" customWidth="1"/>
    <col min="49" max="49" width="7.5703125" style="11" bestFit="1" customWidth="1"/>
    <col min="50" max="50" width="7" style="11" bestFit="1" customWidth="1"/>
    <col min="51" max="51" width="20.140625" style="11" bestFit="1" customWidth="1"/>
    <col min="52" max="52" width="6.85546875" style="11" bestFit="1" customWidth="1"/>
    <col min="53" max="53" width="5.5703125" style="11" bestFit="1" customWidth="1"/>
    <col min="54" max="54" width="7.5703125" style="11" bestFit="1" customWidth="1"/>
    <col min="55" max="55" width="17.85546875" style="11" customWidth="1"/>
    <col min="56" max="56" width="10.42578125" style="11" bestFit="1" customWidth="1"/>
    <col min="57" max="57" width="12" style="11" bestFit="1" customWidth="1"/>
    <col min="58" max="59" width="14.42578125" style="11" bestFit="1" customWidth="1"/>
    <col min="60" max="60" width="13.28515625" style="11" bestFit="1" customWidth="1"/>
    <col min="61" max="61" width="16.28515625" style="11" bestFit="1" customWidth="1"/>
    <col min="62" max="62" width="22.28515625" style="11" customWidth="1"/>
    <col min="63" max="63" width="12.140625" style="11" hidden="1" customWidth="1"/>
    <col min="64" max="64" width="15.42578125" style="11" hidden="1" customWidth="1"/>
    <col min="65" max="65" width="12.42578125" style="11" hidden="1" customWidth="1"/>
    <col min="66" max="16384" width="9.140625" style="11"/>
  </cols>
  <sheetData>
    <row r="2" spans="1:65" ht="23.25">
      <c r="E2" s="9" t="s">
        <v>578</v>
      </c>
      <c r="G2" s="9"/>
      <c r="H2" s="10"/>
    </row>
    <row r="3" spans="1:65" ht="20.25">
      <c r="E3" s="242">
        <v>41782</v>
      </c>
    </row>
    <row r="4" spans="1:65" ht="15.75" customHeight="1">
      <c r="D4" s="137" t="s">
        <v>17</v>
      </c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X4" s="18" t="s">
        <v>16</v>
      </c>
      <c r="Y4" s="18"/>
      <c r="Z4" s="17"/>
      <c r="AA4" s="17"/>
      <c r="AB4" s="19"/>
      <c r="AC4" s="19"/>
      <c r="AD4" s="19"/>
      <c r="AE4" s="19"/>
      <c r="AF4" s="19"/>
      <c r="AG4" s="19"/>
      <c r="AH4" s="19"/>
      <c r="AI4" s="19"/>
      <c r="AO4" s="221" t="s">
        <v>703</v>
      </c>
      <c r="AP4" s="221"/>
      <c r="AQ4" s="271" t="s">
        <v>19</v>
      </c>
      <c r="AR4" s="271"/>
      <c r="AS4" s="272" t="s">
        <v>22</v>
      </c>
      <c r="AT4" s="272"/>
      <c r="AU4" s="272"/>
      <c r="AV4" s="272"/>
      <c r="AW4" s="272"/>
      <c r="AX4" s="273" t="s">
        <v>28</v>
      </c>
      <c r="AY4" s="273"/>
      <c r="AZ4" s="273"/>
      <c r="BA4" s="273"/>
      <c r="BB4" s="273"/>
      <c r="BC4" s="274" t="s">
        <v>34</v>
      </c>
      <c r="BD4" s="274"/>
      <c r="BE4" s="274"/>
      <c r="BF4" s="274"/>
      <c r="BG4" s="274"/>
      <c r="BH4" s="274"/>
      <c r="BI4" s="274"/>
      <c r="BJ4" s="274"/>
    </row>
    <row r="5" spans="1:65">
      <c r="B5" s="139" t="s">
        <v>0</v>
      </c>
      <c r="C5" s="150" t="s">
        <v>658</v>
      </c>
      <c r="D5" s="139" t="s">
        <v>2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738</v>
      </c>
      <c r="AL5" s="32" t="s">
        <v>39</v>
      </c>
      <c r="AM5" s="32" t="s">
        <v>40</v>
      </c>
      <c r="AN5" s="32" t="s">
        <v>13</v>
      </c>
      <c r="AO5" s="140" t="s">
        <v>20</v>
      </c>
      <c r="AP5" s="141" t="s">
        <v>21</v>
      </c>
      <c r="AQ5" s="33" t="s">
        <v>18</v>
      </c>
      <c r="AR5" s="33" t="s">
        <v>55</v>
      </c>
      <c r="AS5" s="35" t="s">
        <v>23</v>
      </c>
      <c r="AT5" s="35" t="s">
        <v>24</v>
      </c>
      <c r="AU5" s="35" t="s">
        <v>25</v>
      </c>
      <c r="AV5" s="35" t="s">
        <v>26</v>
      </c>
      <c r="AW5" s="35" t="s">
        <v>27</v>
      </c>
      <c r="AX5" s="36" t="s">
        <v>23</v>
      </c>
      <c r="AY5" s="36" t="s">
        <v>24</v>
      </c>
      <c r="AZ5" s="36" t="s">
        <v>25</v>
      </c>
      <c r="BA5" s="36" t="s">
        <v>26</v>
      </c>
      <c r="BB5" s="36" t="s">
        <v>27</v>
      </c>
      <c r="BC5" s="37" t="s">
        <v>45</v>
      </c>
      <c r="BD5" s="38" t="s">
        <v>29</v>
      </c>
      <c r="BE5" s="38" t="s">
        <v>30</v>
      </c>
      <c r="BF5" s="38" t="s">
        <v>31</v>
      </c>
      <c r="BG5" s="38" t="s">
        <v>32</v>
      </c>
      <c r="BH5" s="38" t="s">
        <v>33</v>
      </c>
      <c r="BI5" s="38" t="s">
        <v>35</v>
      </c>
      <c r="BJ5" s="38" t="s">
        <v>44</v>
      </c>
      <c r="BK5" s="38" t="s">
        <v>41</v>
      </c>
      <c r="BL5" s="38" t="s">
        <v>42</v>
      </c>
      <c r="BM5" s="38" t="s">
        <v>43</v>
      </c>
    </row>
    <row r="6" spans="1:65" ht="60">
      <c r="A6" s="244"/>
      <c r="B6" s="174" t="s">
        <v>1310</v>
      </c>
      <c r="C6" s="209" t="s">
        <v>541</v>
      </c>
      <c r="D6" s="261" t="s">
        <v>1311</v>
      </c>
      <c r="E6" s="184" t="s">
        <v>1312</v>
      </c>
      <c r="F6" s="287" t="s">
        <v>1313</v>
      </c>
      <c r="G6" s="167" t="s">
        <v>1314</v>
      </c>
      <c r="H6" s="167"/>
      <c r="I6" s="167"/>
      <c r="J6" s="182"/>
      <c r="K6" s="184"/>
      <c r="L6" s="197"/>
      <c r="M6" s="197"/>
      <c r="N6" s="197"/>
      <c r="O6" s="197"/>
      <c r="P6" s="197"/>
      <c r="Q6" s="197"/>
      <c r="R6" s="197"/>
      <c r="S6" s="197"/>
      <c r="T6" s="217"/>
      <c r="U6" s="217"/>
      <c r="V6" s="182"/>
      <c r="W6" s="217"/>
      <c r="X6" s="219"/>
      <c r="Y6" s="217"/>
      <c r="Z6" s="219"/>
      <c r="AA6" s="151"/>
      <c r="AB6" s="209"/>
      <c r="AC6" s="209"/>
      <c r="AD6" s="209"/>
      <c r="AE6" s="215"/>
      <c r="AF6" s="209"/>
      <c r="AG6" s="215"/>
      <c r="AH6" s="215"/>
      <c r="AI6" s="174"/>
      <c r="AJ6" s="209"/>
      <c r="AK6" s="209"/>
      <c r="AL6" s="209"/>
      <c r="AM6" s="209"/>
      <c r="AN6" s="215"/>
      <c r="AO6" s="296">
        <v>78.75</v>
      </c>
      <c r="AP6" s="175">
        <f t="shared" ref="AP6:AP15" si="0">AO6/0.444</f>
        <v>177.36486486486487</v>
      </c>
      <c r="AQ6" s="266" t="s">
        <v>1315</v>
      </c>
      <c r="AR6" s="266" t="s">
        <v>1316</v>
      </c>
      <c r="AS6" s="297" t="s">
        <v>662</v>
      </c>
      <c r="AT6" s="297"/>
      <c r="AU6" s="297"/>
      <c r="AV6" s="297"/>
      <c r="AW6" s="297"/>
      <c r="AX6" s="294">
        <v>5.13</v>
      </c>
      <c r="AY6" s="294">
        <v>5.13</v>
      </c>
      <c r="AZ6" s="294">
        <v>9.25</v>
      </c>
      <c r="BA6" s="290">
        <f t="shared" ref="BA6:BA12" si="1">(AZ6*AY6*AX6)/1728</f>
        <v>0.14087460937499999</v>
      </c>
      <c r="BB6" s="294">
        <f>0.9+0.25</f>
        <v>1.1499999999999999</v>
      </c>
      <c r="BC6" s="264"/>
      <c r="BD6" s="194">
        <v>1</v>
      </c>
      <c r="BE6" s="194">
        <v>48</v>
      </c>
      <c r="BF6" s="194">
        <v>3</v>
      </c>
      <c r="BG6" s="194">
        <f t="shared" ref="BG6:BG12" si="2">BD6*BE6*BF6</f>
        <v>144</v>
      </c>
      <c r="BH6" s="194">
        <f t="shared" ref="BH6:BH12" si="3">(BB6*BE6*BF6)+50</f>
        <v>215.6</v>
      </c>
      <c r="BI6" s="194" t="s">
        <v>65</v>
      </c>
      <c r="BJ6" s="194"/>
      <c r="BK6" s="38"/>
      <c r="BL6" s="38"/>
      <c r="BM6" s="38"/>
    </row>
    <row r="7" spans="1:65">
      <c r="A7" s="244"/>
      <c r="B7" s="174" t="s">
        <v>1317</v>
      </c>
      <c r="C7" s="209" t="s">
        <v>541</v>
      </c>
      <c r="D7" s="261" t="s">
        <v>1311</v>
      </c>
      <c r="E7" s="184" t="s">
        <v>1318</v>
      </c>
      <c r="F7" s="287" t="s">
        <v>1319</v>
      </c>
      <c r="G7" s="167">
        <v>230029</v>
      </c>
      <c r="H7" s="167"/>
      <c r="I7" s="167"/>
      <c r="J7" s="182"/>
      <c r="K7" s="184"/>
      <c r="L7" s="197"/>
      <c r="M7" s="197"/>
      <c r="N7" s="197"/>
      <c r="O7" s="197"/>
      <c r="P7" s="197"/>
      <c r="Q7" s="197"/>
      <c r="R7" s="197"/>
      <c r="S7" s="197"/>
      <c r="T7" s="217"/>
      <c r="U7" s="217"/>
      <c r="V7" s="182"/>
      <c r="W7" s="217"/>
      <c r="X7" s="219"/>
      <c r="Y7" s="217"/>
      <c r="Z7" s="219" t="s">
        <v>1320</v>
      </c>
      <c r="AA7" s="151"/>
      <c r="AB7" s="209"/>
      <c r="AC7" s="209"/>
      <c r="AD7" s="209"/>
      <c r="AE7" s="215"/>
      <c r="AF7" s="209"/>
      <c r="AG7" s="215"/>
      <c r="AH7" s="215"/>
      <c r="AI7" s="174"/>
      <c r="AJ7" s="209"/>
      <c r="AK7" s="209"/>
      <c r="AL7" s="209"/>
      <c r="AM7" s="209"/>
      <c r="AN7" s="215"/>
      <c r="AO7" s="286">
        <v>20.190000000000001</v>
      </c>
      <c r="AP7" s="175">
        <f t="shared" si="0"/>
        <v>45.472972972972975</v>
      </c>
      <c r="AQ7" s="188" t="s">
        <v>1321</v>
      </c>
      <c r="AR7" s="188" t="s">
        <v>1322</v>
      </c>
      <c r="AS7" s="241" t="s">
        <v>720</v>
      </c>
      <c r="AT7" s="298"/>
      <c r="AU7" s="298"/>
      <c r="AV7" s="298"/>
      <c r="AW7" s="298"/>
      <c r="AX7" s="294">
        <v>15.81</v>
      </c>
      <c r="AY7" s="294">
        <v>11.93</v>
      </c>
      <c r="AZ7" s="294">
        <v>5.0599999999999996</v>
      </c>
      <c r="BA7" s="290">
        <f t="shared" si="1"/>
        <v>0.55230514930555552</v>
      </c>
      <c r="BB7" s="294">
        <f>0.38*BD7+0.25</f>
        <v>4.8100000000000005</v>
      </c>
      <c r="BC7" s="264" t="s">
        <v>68</v>
      </c>
      <c r="BD7" s="194">
        <v>12</v>
      </c>
      <c r="BE7" s="194">
        <v>10</v>
      </c>
      <c r="BF7" s="194">
        <v>7</v>
      </c>
      <c r="BG7" s="194">
        <f t="shared" si="2"/>
        <v>840</v>
      </c>
      <c r="BH7" s="194">
        <f t="shared" si="3"/>
        <v>386.70000000000005</v>
      </c>
      <c r="BI7" s="194" t="s">
        <v>65</v>
      </c>
      <c r="BJ7" s="194" t="s">
        <v>107</v>
      </c>
      <c r="BK7" s="38"/>
      <c r="BL7" s="38"/>
      <c r="BM7" s="38"/>
    </row>
    <row r="8" spans="1:65">
      <c r="A8" s="244"/>
      <c r="B8" s="261" t="s">
        <v>1323</v>
      </c>
      <c r="C8" s="215" t="s">
        <v>541</v>
      </c>
      <c r="D8" s="261" t="s">
        <v>1309</v>
      </c>
      <c r="E8" s="246" t="s">
        <v>1324</v>
      </c>
      <c r="F8" s="167" t="s">
        <v>1325</v>
      </c>
      <c r="G8" s="167">
        <v>300110625</v>
      </c>
      <c r="H8" s="167" t="s">
        <v>1326</v>
      </c>
      <c r="I8" s="167">
        <v>232006</v>
      </c>
      <c r="J8" s="182" t="s">
        <v>1052</v>
      </c>
      <c r="K8" s="184">
        <v>23538565</v>
      </c>
      <c r="L8" s="197"/>
      <c r="M8" s="197"/>
      <c r="N8" s="197"/>
      <c r="O8" s="197"/>
      <c r="P8" s="197"/>
      <c r="Q8" s="197"/>
      <c r="R8" s="197"/>
      <c r="S8" s="197"/>
      <c r="T8" s="217" t="s">
        <v>1327</v>
      </c>
      <c r="U8" s="217"/>
      <c r="V8" s="182">
        <v>86661</v>
      </c>
      <c r="W8" s="217"/>
      <c r="X8" s="219" t="s">
        <v>1328</v>
      </c>
      <c r="Y8" s="217"/>
      <c r="Z8" s="219" t="s">
        <v>1329</v>
      </c>
      <c r="AA8" s="151" t="s">
        <v>1330</v>
      </c>
      <c r="AB8" s="209"/>
      <c r="AC8" s="209"/>
      <c r="AD8" s="209"/>
      <c r="AE8" s="215"/>
      <c r="AF8" s="209"/>
      <c r="AG8" s="215"/>
      <c r="AH8" s="215"/>
      <c r="AI8" s="174">
        <v>3661</v>
      </c>
      <c r="AJ8" s="209"/>
      <c r="AK8" s="209"/>
      <c r="AL8" s="209"/>
      <c r="AM8" s="209"/>
      <c r="AN8" s="215">
        <v>33661</v>
      </c>
      <c r="AO8" s="258">
        <v>17.2</v>
      </c>
      <c r="AP8" s="175">
        <f t="shared" si="0"/>
        <v>38.738738738738739</v>
      </c>
      <c r="AQ8" s="266" t="s">
        <v>1331</v>
      </c>
      <c r="AR8" s="266" t="s">
        <v>1332</v>
      </c>
      <c r="AS8" s="291">
        <v>3.8479999999999999</v>
      </c>
      <c r="AT8" s="292">
        <v>3.8479999999999999</v>
      </c>
      <c r="AU8" s="292">
        <v>5.4470000000000001</v>
      </c>
      <c r="AV8" s="288">
        <f>(AU8*AT8*AS8)/1728</f>
        <v>4.6674939518518511E-2</v>
      </c>
      <c r="AW8" s="293">
        <v>0.46200000000000002</v>
      </c>
      <c r="AX8" s="294">
        <v>15.81</v>
      </c>
      <c r="AY8" s="294">
        <v>11.93</v>
      </c>
      <c r="AZ8" s="294">
        <v>6</v>
      </c>
      <c r="BA8" s="290">
        <f t="shared" si="1"/>
        <v>0.65490729166666672</v>
      </c>
      <c r="BB8" s="294">
        <f>0.462*BD8+0.25</f>
        <v>5.7940000000000005</v>
      </c>
      <c r="BC8" s="264" t="s">
        <v>68</v>
      </c>
      <c r="BD8" s="194">
        <v>12</v>
      </c>
      <c r="BE8" s="194">
        <v>10</v>
      </c>
      <c r="BF8" s="194">
        <v>7</v>
      </c>
      <c r="BG8" s="194">
        <f t="shared" si="2"/>
        <v>840</v>
      </c>
      <c r="BH8" s="194">
        <f t="shared" si="3"/>
        <v>455.58000000000004</v>
      </c>
      <c r="BI8" s="194" t="s">
        <v>65</v>
      </c>
      <c r="BJ8" s="194" t="s">
        <v>107</v>
      </c>
      <c r="BK8" s="38"/>
      <c r="BL8" s="38"/>
      <c r="BM8" s="38"/>
    </row>
    <row r="9" spans="1:65" ht="60">
      <c r="A9" s="244"/>
      <c r="B9" s="277" t="s">
        <v>451</v>
      </c>
      <c r="C9" s="284" t="s">
        <v>541</v>
      </c>
      <c r="D9" s="277" t="s">
        <v>1308</v>
      </c>
      <c r="E9" s="246" t="s">
        <v>1333</v>
      </c>
      <c r="F9" s="278" t="s">
        <v>10</v>
      </c>
      <c r="G9" s="278" t="s">
        <v>453</v>
      </c>
      <c r="H9" s="278"/>
      <c r="I9" s="278"/>
      <c r="J9" s="279"/>
      <c r="K9" s="280"/>
      <c r="L9" s="281"/>
      <c r="M9" s="281"/>
      <c r="N9" s="281"/>
      <c r="O9" s="281"/>
      <c r="P9" s="281"/>
      <c r="Q9" s="281"/>
      <c r="R9" s="281"/>
      <c r="S9" s="281"/>
      <c r="T9" s="282"/>
      <c r="U9" s="282"/>
      <c r="V9" s="279"/>
      <c r="W9" s="282"/>
      <c r="X9" s="289" t="s">
        <v>453</v>
      </c>
      <c r="Y9" s="282"/>
      <c r="Z9" s="289"/>
      <c r="AA9" s="283"/>
      <c r="AB9" s="276"/>
      <c r="AC9" s="276"/>
      <c r="AD9" s="276"/>
      <c r="AE9" s="284"/>
      <c r="AF9" s="276"/>
      <c r="AG9" s="284"/>
      <c r="AH9" s="284"/>
      <c r="AI9" s="285"/>
      <c r="AJ9" s="276"/>
      <c r="AK9" s="276"/>
      <c r="AL9" s="276"/>
      <c r="AM9" s="276"/>
      <c r="AN9" s="284"/>
      <c r="AO9" s="258">
        <v>290.89999999999998</v>
      </c>
      <c r="AP9" s="175">
        <f t="shared" si="0"/>
        <v>655.18018018018017</v>
      </c>
      <c r="AQ9" s="188" t="s">
        <v>1334</v>
      </c>
      <c r="AR9" s="188" t="s">
        <v>1335</v>
      </c>
      <c r="AS9" s="299" t="s">
        <v>662</v>
      </c>
      <c r="AT9" s="300"/>
      <c r="AU9" s="300"/>
      <c r="AV9" s="300"/>
      <c r="AW9" s="301"/>
      <c r="AX9" s="294">
        <v>13.25</v>
      </c>
      <c r="AY9" s="294">
        <v>13.25</v>
      </c>
      <c r="AZ9" s="294">
        <v>26.59</v>
      </c>
      <c r="BA9" s="290">
        <f t="shared" si="1"/>
        <v>2.7015086082175923</v>
      </c>
      <c r="BB9" s="294">
        <f>10.92+0.25</f>
        <v>11.17</v>
      </c>
      <c r="BC9" s="264" t="s">
        <v>68</v>
      </c>
      <c r="BD9" s="194">
        <v>1</v>
      </c>
      <c r="BE9" s="194">
        <v>6</v>
      </c>
      <c r="BF9" s="194">
        <v>1</v>
      </c>
      <c r="BG9" s="194">
        <f t="shared" si="2"/>
        <v>6</v>
      </c>
      <c r="BH9" s="194">
        <f t="shared" si="3"/>
        <v>117.02</v>
      </c>
      <c r="BI9" s="194" t="s">
        <v>65</v>
      </c>
      <c r="BJ9" s="194" t="s">
        <v>107</v>
      </c>
      <c r="BK9" s="38"/>
      <c r="BL9" s="38"/>
      <c r="BM9" s="38"/>
    </row>
    <row r="10" spans="1:65" ht="60">
      <c r="A10" s="244"/>
      <c r="B10" s="174" t="s">
        <v>1336</v>
      </c>
      <c r="C10" s="209" t="s">
        <v>541</v>
      </c>
      <c r="D10" s="261" t="s">
        <v>1308</v>
      </c>
      <c r="E10" s="302" t="s">
        <v>1337</v>
      </c>
      <c r="F10" s="287" t="s">
        <v>10</v>
      </c>
      <c r="G10" s="167" t="s">
        <v>1338</v>
      </c>
      <c r="H10" s="167"/>
      <c r="I10" s="167"/>
      <c r="J10" s="182"/>
      <c r="K10" s="184"/>
      <c r="L10" s="197"/>
      <c r="M10" s="197"/>
      <c r="N10" s="197"/>
      <c r="O10" s="197"/>
      <c r="P10" s="197"/>
      <c r="Q10" s="197"/>
      <c r="R10" s="197"/>
      <c r="S10" s="197"/>
      <c r="T10" s="217"/>
      <c r="U10" s="217"/>
      <c r="V10" s="182"/>
      <c r="W10" s="217"/>
      <c r="X10" s="167" t="s">
        <v>1338</v>
      </c>
      <c r="Y10" s="217"/>
      <c r="Z10" s="219"/>
      <c r="AA10" s="151"/>
      <c r="AB10" s="209"/>
      <c r="AC10" s="209"/>
      <c r="AD10" s="209"/>
      <c r="AE10" s="215"/>
      <c r="AF10" s="209"/>
      <c r="AG10" s="215"/>
      <c r="AH10" s="215"/>
      <c r="AI10" s="174"/>
      <c r="AJ10" s="209"/>
      <c r="AK10" s="209"/>
      <c r="AL10" s="209"/>
      <c r="AM10" s="209"/>
      <c r="AN10" s="215"/>
      <c r="AO10" s="286">
        <v>347.53</v>
      </c>
      <c r="AP10" s="175">
        <f t="shared" si="0"/>
        <v>782.72522522522513</v>
      </c>
      <c r="AQ10" s="215"/>
      <c r="AR10" s="215"/>
      <c r="AS10" s="297" t="s">
        <v>662</v>
      </c>
      <c r="AT10" s="297"/>
      <c r="AU10" s="297"/>
      <c r="AV10" s="297"/>
      <c r="AW10" s="297"/>
      <c r="AX10" s="294">
        <v>19.25</v>
      </c>
      <c r="AY10" s="294">
        <v>8.6</v>
      </c>
      <c r="AZ10" s="294">
        <v>12.5</v>
      </c>
      <c r="BA10" s="290">
        <f t="shared" si="1"/>
        <v>1.1975549768518519</v>
      </c>
      <c r="BB10" s="294">
        <f>5.51+0.25</f>
        <v>5.76</v>
      </c>
      <c r="BC10" s="264"/>
      <c r="BD10" s="194">
        <v>1</v>
      </c>
      <c r="BE10" s="194">
        <v>10</v>
      </c>
      <c r="BF10" s="194">
        <v>3</v>
      </c>
      <c r="BG10" s="194">
        <f t="shared" si="2"/>
        <v>30</v>
      </c>
      <c r="BH10" s="194">
        <f t="shared" si="3"/>
        <v>222.79999999999998</v>
      </c>
      <c r="BI10" s="194" t="s">
        <v>65</v>
      </c>
      <c r="BJ10" s="194"/>
      <c r="BK10" s="38"/>
      <c r="BL10" s="38"/>
      <c r="BM10" s="38"/>
    </row>
    <row r="11" spans="1:65" ht="60">
      <c r="A11" s="244"/>
      <c r="B11" s="174" t="s">
        <v>1339</v>
      </c>
      <c r="C11" s="209" t="s">
        <v>541</v>
      </c>
      <c r="D11" s="261" t="s">
        <v>1308</v>
      </c>
      <c r="E11" s="184" t="s">
        <v>1340</v>
      </c>
      <c r="F11" s="287" t="s">
        <v>10</v>
      </c>
      <c r="G11" s="167" t="s">
        <v>1341</v>
      </c>
      <c r="H11" s="167"/>
      <c r="I11" s="167"/>
      <c r="J11" s="182"/>
      <c r="K11" s="184"/>
      <c r="L11" s="197"/>
      <c r="M11" s="197"/>
      <c r="N11" s="197"/>
      <c r="O11" s="197"/>
      <c r="P11" s="197"/>
      <c r="Q11" s="197"/>
      <c r="R11" s="197"/>
      <c r="S11" s="197"/>
      <c r="T11" s="217"/>
      <c r="U11" s="217"/>
      <c r="V11" s="182"/>
      <c r="W11" s="217"/>
      <c r="X11" s="167" t="s">
        <v>1341</v>
      </c>
      <c r="Y11" s="217"/>
      <c r="Z11" s="219"/>
      <c r="AA11" s="151"/>
      <c r="AB11" s="209"/>
      <c r="AC11" s="209"/>
      <c r="AD11" s="209"/>
      <c r="AE11" s="215"/>
      <c r="AF11" s="209"/>
      <c r="AG11" s="215"/>
      <c r="AH11" s="215"/>
      <c r="AI11" s="174"/>
      <c r="AJ11" s="209"/>
      <c r="AK11" s="209"/>
      <c r="AL11" s="209"/>
      <c r="AM11" s="209"/>
      <c r="AN11" s="215"/>
      <c r="AO11" s="286">
        <v>268.5</v>
      </c>
      <c r="AP11" s="175">
        <f t="shared" si="0"/>
        <v>604.72972972972968</v>
      </c>
      <c r="AQ11" s="266" t="s">
        <v>1342</v>
      </c>
      <c r="AR11" s="266" t="s">
        <v>1343</v>
      </c>
      <c r="AS11" s="299" t="s">
        <v>662</v>
      </c>
      <c r="AT11" s="300"/>
      <c r="AU11" s="300"/>
      <c r="AV11" s="300"/>
      <c r="AW11" s="301"/>
      <c r="AX11" s="294">
        <v>11.505000000000001</v>
      </c>
      <c r="AY11" s="294">
        <v>11.505000000000001</v>
      </c>
      <c r="AZ11" s="294">
        <v>24.63</v>
      </c>
      <c r="BA11" s="290">
        <f t="shared" si="1"/>
        <v>1.8866612070312501</v>
      </c>
      <c r="BB11" s="294">
        <f>7.84+0.4</f>
        <v>8.24</v>
      </c>
      <c r="BC11" s="264"/>
      <c r="BD11" s="194">
        <v>1</v>
      </c>
      <c r="BE11" s="194">
        <v>6</v>
      </c>
      <c r="BF11" s="194">
        <v>1</v>
      </c>
      <c r="BG11" s="194">
        <f t="shared" si="2"/>
        <v>6</v>
      </c>
      <c r="BH11" s="194">
        <f t="shared" si="3"/>
        <v>99.44</v>
      </c>
      <c r="BI11" s="194" t="s">
        <v>65</v>
      </c>
      <c r="BJ11" s="194"/>
      <c r="BK11" s="38"/>
      <c r="BL11" s="38"/>
      <c r="BM11" s="38"/>
    </row>
    <row r="12" spans="1:65" ht="30">
      <c r="A12" s="244"/>
      <c r="B12" s="210" t="s">
        <v>1031</v>
      </c>
      <c r="C12" s="210" t="s">
        <v>1344</v>
      </c>
      <c r="D12" s="247" t="s">
        <v>1345</v>
      </c>
      <c r="E12" s="184" t="s">
        <v>1346</v>
      </c>
      <c r="F12" s="152" t="s">
        <v>669</v>
      </c>
      <c r="G12" s="215">
        <v>925837</v>
      </c>
      <c r="H12" s="249" t="s">
        <v>1055</v>
      </c>
      <c r="I12" s="182">
        <v>757051</v>
      </c>
      <c r="J12" s="249" t="s">
        <v>1055</v>
      </c>
      <c r="K12" s="182">
        <v>7559101</v>
      </c>
      <c r="L12" s="182" t="s">
        <v>1059</v>
      </c>
      <c r="M12" s="209" t="s">
        <v>1060</v>
      </c>
      <c r="N12" s="209" t="s">
        <v>669</v>
      </c>
      <c r="O12" s="209">
        <v>925836</v>
      </c>
      <c r="P12" s="197"/>
      <c r="Q12" s="197"/>
      <c r="R12" s="197"/>
      <c r="S12" s="197"/>
      <c r="T12" s="217" t="s">
        <v>1054</v>
      </c>
      <c r="U12" s="217"/>
      <c r="V12" s="181">
        <v>84888</v>
      </c>
      <c r="W12" s="217"/>
      <c r="X12" s="219" t="s">
        <v>1057</v>
      </c>
      <c r="Y12" s="217"/>
      <c r="Z12" s="219" t="s">
        <v>1058</v>
      </c>
      <c r="AA12" s="248"/>
      <c r="AB12" s="215"/>
      <c r="AC12" s="215"/>
      <c r="AD12" s="215"/>
      <c r="AE12" s="215"/>
      <c r="AF12" s="215"/>
      <c r="AG12" s="215"/>
      <c r="AH12" s="215"/>
      <c r="AI12" s="174">
        <v>7888</v>
      </c>
      <c r="AJ12" s="245"/>
      <c r="AK12" s="245"/>
      <c r="AL12" s="245"/>
      <c r="AM12" s="245"/>
      <c r="AN12" s="215">
        <v>57888</v>
      </c>
      <c r="AO12" s="286">
        <v>164.76</v>
      </c>
      <c r="AP12" s="175">
        <f t="shared" si="0"/>
        <v>371.08108108108104</v>
      </c>
      <c r="AQ12" s="188" t="s">
        <v>1043</v>
      </c>
      <c r="AR12" s="188" t="s">
        <v>1044</v>
      </c>
      <c r="AS12" s="241" t="s">
        <v>720</v>
      </c>
      <c r="AT12" s="298"/>
      <c r="AU12" s="298"/>
      <c r="AV12" s="298"/>
      <c r="AW12" s="298"/>
      <c r="AX12" s="237">
        <v>3.5</v>
      </c>
      <c r="AY12" s="237">
        <v>3.5</v>
      </c>
      <c r="AZ12" s="237">
        <v>10.25</v>
      </c>
      <c r="BA12" s="290">
        <f t="shared" si="1"/>
        <v>7.2663483796296294E-2</v>
      </c>
      <c r="BB12" s="237">
        <f>0.8*BD12+0.4</f>
        <v>10.000000000000002</v>
      </c>
      <c r="BC12" s="215" t="s">
        <v>68</v>
      </c>
      <c r="BD12" s="193">
        <v>12</v>
      </c>
      <c r="BE12" s="193">
        <v>9</v>
      </c>
      <c r="BF12" s="193">
        <v>4</v>
      </c>
      <c r="BG12" s="194">
        <f t="shared" si="2"/>
        <v>432</v>
      </c>
      <c r="BH12" s="194">
        <f t="shared" si="3"/>
        <v>410.00000000000006</v>
      </c>
      <c r="BI12" s="194" t="s">
        <v>65</v>
      </c>
      <c r="BJ12" s="194" t="s">
        <v>107</v>
      </c>
      <c r="BK12" s="38"/>
      <c r="BL12" s="38"/>
      <c r="BM12" s="38"/>
    </row>
    <row r="13" spans="1:65">
      <c r="A13" s="244"/>
      <c r="B13" s="261" t="s">
        <v>1302</v>
      </c>
      <c r="C13" s="209" t="s">
        <v>541</v>
      </c>
      <c r="D13" s="261" t="s">
        <v>1303</v>
      </c>
      <c r="E13" s="295" t="s">
        <v>1347</v>
      </c>
      <c r="F13" s="287"/>
      <c r="G13" s="167"/>
      <c r="H13" s="167"/>
      <c r="I13" s="167"/>
      <c r="J13" s="182"/>
      <c r="K13" s="184"/>
      <c r="L13" s="197"/>
      <c r="M13" s="197"/>
      <c r="N13" s="197"/>
      <c r="O13" s="197"/>
      <c r="P13" s="197"/>
      <c r="Q13" s="197"/>
      <c r="R13" s="197"/>
      <c r="S13" s="197"/>
      <c r="T13" s="217"/>
      <c r="U13" s="217"/>
      <c r="V13" s="182"/>
      <c r="W13" s="217"/>
      <c r="X13" s="219"/>
      <c r="Y13" s="217"/>
      <c r="Z13" s="219"/>
      <c r="AA13" s="151"/>
      <c r="AB13" s="209"/>
      <c r="AC13" s="209"/>
      <c r="AD13" s="209"/>
      <c r="AE13" s="215"/>
      <c r="AF13" s="209"/>
      <c r="AG13" s="215"/>
      <c r="AH13" s="215"/>
      <c r="AI13" s="174"/>
      <c r="AJ13" s="209"/>
      <c r="AK13" s="209"/>
      <c r="AL13" s="209"/>
      <c r="AM13" s="209"/>
      <c r="AN13" s="215"/>
      <c r="AO13" s="258">
        <v>34.520000000000003</v>
      </c>
      <c r="AP13" s="175">
        <f t="shared" si="0"/>
        <v>77.747747747747752</v>
      </c>
      <c r="AQ13" s="188" t="s">
        <v>1304</v>
      </c>
      <c r="AR13" s="188" t="s">
        <v>1305</v>
      </c>
      <c r="AS13" s="275" t="s">
        <v>720</v>
      </c>
      <c r="AT13" s="303"/>
      <c r="AU13" s="303"/>
      <c r="AV13" s="303"/>
      <c r="AW13" s="304"/>
      <c r="AX13" s="294">
        <v>7.9950000000000001</v>
      </c>
      <c r="AY13" s="294">
        <v>7.9950000000000001</v>
      </c>
      <c r="AZ13" s="294">
        <v>11.5</v>
      </c>
      <c r="BA13" s="290">
        <f>(AZ13*AY13*AX13)/1728</f>
        <v>0.42539368489583329</v>
      </c>
      <c r="BB13" s="294">
        <v>5.23</v>
      </c>
      <c r="BC13" s="264" t="s">
        <v>68</v>
      </c>
      <c r="BD13" s="194">
        <v>1</v>
      </c>
      <c r="BE13" s="194">
        <v>30</v>
      </c>
      <c r="BF13" s="194">
        <v>3</v>
      </c>
      <c r="BG13" s="194">
        <f>BD13*BE13*BF13</f>
        <v>90</v>
      </c>
      <c r="BH13" s="194">
        <f>(BB13*BE13*BF13)+50</f>
        <v>520.70000000000005</v>
      </c>
      <c r="BI13" s="194" t="s">
        <v>65</v>
      </c>
      <c r="BJ13" s="194" t="s">
        <v>107</v>
      </c>
      <c r="BK13" s="38"/>
      <c r="BL13" s="38"/>
      <c r="BM13" s="38"/>
    </row>
    <row r="14" spans="1:65">
      <c r="A14" s="244"/>
      <c r="B14" s="174" t="s">
        <v>1348</v>
      </c>
      <c r="C14" s="209" t="s">
        <v>541</v>
      </c>
      <c r="D14" s="261" t="s">
        <v>1349</v>
      </c>
      <c r="E14" s="295" t="s">
        <v>1350</v>
      </c>
      <c r="F14" s="287"/>
      <c r="G14" s="167"/>
      <c r="H14" s="167"/>
      <c r="I14" s="167"/>
      <c r="J14" s="182"/>
      <c r="K14" s="184"/>
      <c r="L14" s="197"/>
      <c r="M14" s="197"/>
      <c r="N14" s="197"/>
      <c r="O14" s="197"/>
      <c r="P14" s="197"/>
      <c r="Q14" s="197"/>
      <c r="R14" s="197"/>
      <c r="S14" s="197"/>
      <c r="T14" s="217"/>
      <c r="U14" s="217"/>
      <c r="V14" s="182"/>
      <c r="W14" s="217"/>
      <c r="X14" s="219"/>
      <c r="Y14" s="217"/>
      <c r="Z14" s="219"/>
      <c r="AA14" s="151"/>
      <c r="AB14" s="209"/>
      <c r="AC14" s="209"/>
      <c r="AD14" s="209"/>
      <c r="AE14" s="215"/>
      <c r="AF14" s="209"/>
      <c r="AG14" s="215"/>
      <c r="AH14" s="215"/>
      <c r="AI14" s="174"/>
      <c r="AJ14" s="209"/>
      <c r="AK14" s="209"/>
      <c r="AL14" s="209"/>
      <c r="AM14" s="209"/>
      <c r="AN14" s="215"/>
      <c r="AO14" s="286">
        <v>21.23</v>
      </c>
      <c r="AP14" s="175">
        <f t="shared" si="0"/>
        <v>47.815315315315317</v>
      </c>
      <c r="AQ14" s="266" t="s">
        <v>1351</v>
      </c>
      <c r="AR14" s="266" t="s">
        <v>1352</v>
      </c>
      <c r="AS14" s="275" t="s">
        <v>1353</v>
      </c>
      <c r="AT14" s="303"/>
      <c r="AU14" s="303"/>
      <c r="AV14" s="303"/>
      <c r="AW14" s="304"/>
      <c r="AX14" s="294">
        <v>5.75</v>
      </c>
      <c r="AY14" s="294">
        <v>5.25</v>
      </c>
      <c r="AZ14" s="294">
        <v>3.63</v>
      </c>
      <c r="BA14" s="290">
        <f>(AZ14*AY14*AX14)/1728</f>
        <v>6.3414713541666667E-2</v>
      </c>
      <c r="BB14" s="215"/>
      <c r="BC14" s="264" t="s">
        <v>68</v>
      </c>
      <c r="BD14" s="194">
        <v>6</v>
      </c>
      <c r="BE14" s="194">
        <v>56</v>
      </c>
      <c r="BF14" s="194">
        <v>12</v>
      </c>
      <c r="BG14" s="194">
        <f>BD14*BE14*BF14</f>
        <v>4032</v>
      </c>
      <c r="BH14" s="194">
        <f>(BB14*BE14*BF14)+50</f>
        <v>50</v>
      </c>
      <c r="BI14" s="194" t="s">
        <v>65</v>
      </c>
      <c r="BJ14" s="194" t="s">
        <v>107</v>
      </c>
      <c r="BK14" s="38"/>
      <c r="BL14" s="38"/>
      <c r="BM14" s="38"/>
    </row>
    <row r="15" spans="1:65">
      <c r="A15" s="244"/>
      <c r="B15" s="261" t="s">
        <v>1354</v>
      </c>
      <c r="C15" s="215" t="s">
        <v>541</v>
      </c>
      <c r="D15" s="261" t="s">
        <v>1307</v>
      </c>
      <c r="E15" s="246" t="s">
        <v>1355</v>
      </c>
      <c r="F15" s="167" t="s">
        <v>306</v>
      </c>
      <c r="G15" s="167" t="s">
        <v>1356</v>
      </c>
      <c r="H15" s="167"/>
      <c r="I15" s="167"/>
      <c r="J15" s="182"/>
      <c r="K15" s="184"/>
      <c r="L15" s="197"/>
      <c r="M15" s="197"/>
      <c r="N15" s="197"/>
      <c r="O15" s="197"/>
      <c r="P15" s="197"/>
      <c r="Q15" s="197"/>
      <c r="R15" s="197"/>
      <c r="S15" s="197"/>
      <c r="T15" s="217"/>
      <c r="U15" s="217"/>
      <c r="V15" s="182"/>
      <c r="W15" s="217"/>
      <c r="X15" s="219"/>
      <c r="Y15" s="217"/>
      <c r="Z15" s="219"/>
      <c r="AA15" s="151"/>
      <c r="AB15" s="209"/>
      <c r="AC15" s="209"/>
      <c r="AD15" s="215"/>
      <c r="AE15" s="215"/>
      <c r="AF15" s="209" t="s">
        <v>1357</v>
      </c>
      <c r="AG15" s="209"/>
      <c r="AH15" s="215"/>
      <c r="AI15" s="174"/>
      <c r="AJ15" s="209"/>
      <c r="AK15" s="209"/>
      <c r="AL15" s="209"/>
      <c r="AM15" s="209"/>
      <c r="AN15" s="215">
        <v>57306</v>
      </c>
      <c r="AO15" s="286">
        <v>89.43</v>
      </c>
      <c r="AP15" s="175">
        <f t="shared" si="0"/>
        <v>201.41891891891893</v>
      </c>
      <c r="AQ15" s="188" t="s">
        <v>1358</v>
      </c>
      <c r="AR15" s="188" t="s">
        <v>1359</v>
      </c>
      <c r="AS15" s="291">
        <v>4.7859999999999996</v>
      </c>
      <c r="AT15" s="292">
        <v>4.7859999999999996</v>
      </c>
      <c r="AU15" s="292">
        <v>8.1969999999999992</v>
      </c>
      <c r="AV15" s="288">
        <f>(AU15*AT15*AS15)/1728</f>
        <v>0.10865671864120367</v>
      </c>
      <c r="AW15" s="293">
        <v>0.79</v>
      </c>
      <c r="AX15" s="294">
        <v>14.805999999999999</v>
      </c>
      <c r="AY15" s="294">
        <v>10.055999999999999</v>
      </c>
      <c r="AZ15" s="294">
        <v>9.4819999999999993</v>
      </c>
      <c r="BA15" s="290">
        <f>(AZ15*AY15*AX15)/1728</f>
        <v>0.81699466872222215</v>
      </c>
      <c r="BB15" s="294">
        <f>AW15*BD15+0.25</f>
        <v>4.99</v>
      </c>
      <c r="BC15" s="264" t="s">
        <v>68</v>
      </c>
      <c r="BD15" s="194">
        <v>6</v>
      </c>
      <c r="BE15" s="194">
        <v>12</v>
      </c>
      <c r="BF15" s="194">
        <v>5</v>
      </c>
      <c r="BG15" s="194">
        <f>BD15*BE15*BF15</f>
        <v>360</v>
      </c>
      <c r="BH15" s="194">
        <f>(BB15*BE15*BF15)+50</f>
        <v>349.40000000000003</v>
      </c>
      <c r="BI15" s="194" t="s">
        <v>1360</v>
      </c>
      <c r="BJ15" s="194" t="s">
        <v>107</v>
      </c>
      <c r="BK15" s="38"/>
      <c r="BL15" s="38"/>
      <c r="BM15" s="38"/>
    </row>
    <row r="17" spans="2:65" s="146" customFormat="1">
      <c r="B17" s="11"/>
      <c r="D17" s="305" t="s">
        <v>1361</v>
      </c>
      <c r="F17" s="142"/>
      <c r="G17" s="89"/>
      <c r="H17" s="11"/>
      <c r="I17" s="11"/>
      <c r="J17" s="11"/>
      <c r="T17" s="11"/>
      <c r="Z17" s="11"/>
      <c r="AA17" s="11"/>
      <c r="AO17" s="143"/>
      <c r="AP17" s="144"/>
      <c r="AQ17" s="11"/>
      <c r="AS17" s="86"/>
      <c r="AT17" s="86"/>
      <c r="AU17" s="86"/>
      <c r="AV17" s="11"/>
      <c r="AW17" s="86"/>
      <c r="AX17" s="86"/>
      <c r="AY17" s="86"/>
      <c r="AZ17" s="86"/>
      <c r="BA17" s="11"/>
      <c r="BB17" s="86"/>
      <c r="BC17" s="11"/>
      <c r="BD17" s="11"/>
      <c r="BI17" s="11"/>
      <c r="BJ17" s="89"/>
    </row>
    <row r="18" spans="2:65" ht="7.5" customHeight="1">
      <c r="B18" s="160"/>
      <c r="C18" s="160"/>
      <c r="D18" s="160"/>
      <c r="E18" s="160"/>
      <c r="F18" s="160"/>
      <c r="G18" s="16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1"/>
      <c r="U18" s="162"/>
      <c r="V18" s="162"/>
      <c r="W18" s="162"/>
      <c r="X18" s="162"/>
      <c r="Y18" s="162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3"/>
      <c r="AP18" s="164"/>
      <c r="AQ18" s="161"/>
      <c r="AR18" s="162"/>
      <c r="AS18" s="165"/>
      <c r="AT18" s="165"/>
      <c r="AU18" s="165"/>
      <c r="AV18" s="161"/>
      <c r="AW18" s="165"/>
      <c r="AX18" s="165"/>
      <c r="AY18" s="165"/>
      <c r="AZ18" s="165"/>
      <c r="BA18" s="161"/>
      <c r="BB18" s="165"/>
      <c r="BC18" s="161"/>
      <c r="BD18" s="161"/>
      <c r="BE18" s="162"/>
      <c r="BF18" s="162"/>
      <c r="BG18" s="162"/>
      <c r="BH18" s="162"/>
      <c r="BI18" s="161"/>
      <c r="BJ18" s="166"/>
      <c r="BK18" s="162"/>
      <c r="BL18" s="146"/>
      <c r="BM18" s="146"/>
    </row>
    <row r="19" spans="2:65" ht="7.5" customHeight="1">
      <c r="B19" s="142"/>
      <c r="C19" s="142"/>
      <c r="D19" s="142"/>
      <c r="E19" s="142"/>
      <c r="F19" s="142"/>
      <c r="G19" s="142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U19" s="146"/>
      <c r="V19" s="146"/>
      <c r="W19" s="146"/>
      <c r="X19" s="146"/>
      <c r="Y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3"/>
      <c r="AP19" s="144"/>
      <c r="AR19" s="146"/>
      <c r="AS19" s="86"/>
      <c r="AT19" s="86"/>
      <c r="AU19" s="86"/>
      <c r="AW19" s="86"/>
      <c r="AX19" s="86"/>
      <c r="AY19" s="86"/>
      <c r="AZ19" s="86"/>
      <c r="BB19" s="86"/>
      <c r="BE19" s="146"/>
      <c r="BF19" s="146"/>
      <c r="BG19" s="146"/>
      <c r="BH19" s="146"/>
      <c r="BJ19" s="89"/>
      <c r="BK19" s="146"/>
      <c r="BL19" s="146"/>
      <c r="BM19" s="146"/>
    </row>
    <row r="20" spans="2:65" ht="23.25">
      <c r="B20" s="142"/>
      <c r="C20" s="142"/>
      <c r="D20" s="142"/>
      <c r="E20" s="159" t="s">
        <v>542</v>
      </c>
      <c r="G20" s="142"/>
      <c r="U20" s="146"/>
      <c r="V20" s="146"/>
      <c r="W20" s="146"/>
      <c r="Y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3"/>
      <c r="AP20" s="144"/>
      <c r="AR20" s="146"/>
      <c r="AS20" s="86"/>
      <c r="AT20" s="86"/>
      <c r="AU20" s="86"/>
      <c r="AW20" s="86"/>
      <c r="AX20" s="86"/>
      <c r="AY20" s="86"/>
      <c r="AZ20" s="86"/>
      <c r="BB20" s="86"/>
      <c r="BE20" s="146"/>
      <c r="BF20" s="146"/>
      <c r="BG20" s="146"/>
      <c r="BH20" s="146"/>
      <c r="BJ20" s="89"/>
      <c r="BK20" s="146"/>
      <c r="BL20" s="146"/>
      <c r="BM20" s="146"/>
    </row>
    <row r="21" spans="2:65" s="146" customFormat="1">
      <c r="B21" s="142"/>
      <c r="C21" s="142"/>
      <c r="D21" s="142"/>
      <c r="E21" s="142"/>
      <c r="F21" s="142"/>
      <c r="G21" s="14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43"/>
      <c r="AP21" s="144"/>
      <c r="AQ21" s="11"/>
      <c r="AR21" s="11"/>
      <c r="AS21" s="86"/>
      <c r="AT21" s="86"/>
      <c r="AU21" s="86"/>
      <c r="AV21" s="11"/>
      <c r="AW21" s="86"/>
      <c r="AX21" s="86"/>
      <c r="AY21" s="86"/>
      <c r="AZ21" s="86"/>
      <c r="BA21" s="11"/>
      <c r="BB21" s="86"/>
      <c r="BC21" s="11"/>
      <c r="BD21" s="11"/>
      <c r="BE21" s="11"/>
      <c r="BF21" s="11"/>
      <c r="BI21" s="11"/>
      <c r="BJ21" s="89"/>
      <c r="BK21" s="11"/>
      <c r="BL21" s="11"/>
      <c r="BM21" s="11"/>
    </row>
    <row r="22" spans="2:65">
      <c r="B22" s="142"/>
      <c r="C22" s="142"/>
      <c r="D22" s="142"/>
      <c r="E22" s="30" t="s">
        <v>543</v>
      </c>
      <c r="F22" s="32" t="s">
        <v>1362</v>
      </c>
      <c r="G22" s="32" t="s">
        <v>544</v>
      </c>
      <c r="AO22" s="143"/>
      <c r="AP22" s="144"/>
      <c r="AS22" s="86"/>
      <c r="AT22" s="86"/>
      <c r="AU22" s="86"/>
      <c r="AW22" s="86"/>
      <c r="AX22" s="86"/>
      <c r="AY22" s="86"/>
      <c r="AZ22" s="86"/>
      <c r="BB22" s="86"/>
      <c r="BG22" s="146"/>
      <c r="BH22" s="146"/>
      <c r="BJ22" s="89"/>
    </row>
    <row r="23" spans="2:65">
      <c r="B23" s="151" t="s">
        <v>1363</v>
      </c>
      <c r="C23" s="151" t="s">
        <v>541</v>
      </c>
      <c r="D23" s="261" t="s">
        <v>1308</v>
      </c>
      <c r="E23" s="269">
        <v>41782</v>
      </c>
      <c r="F23" s="258">
        <v>20.85</v>
      </c>
      <c r="G23" s="258">
        <v>12.75</v>
      </c>
      <c r="AO23" s="143"/>
      <c r="AP23" s="144"/>
      <c r="AS23" s="86"/>
      <c r="AT23" s="86"/>
      <c r="AU23" s="86"/>
      <c r="AW23" s="86"/>
      <c r="AX23" s="86"/>
      <c r="AY23" s="86"/>
      <c r="AZ23" s="86"/>
      <c r="BB23" s="86"/>
      <c r="BG23" s="146"/>
      <c r="BH23" s="146"/>
      <c r="BJ23" s="89"/>
    </row>
    <row r="24" spans="2:65">
      <c r="B24" s="151"/>
      <c r="C24" s="151"/>
      <c r="D24" s="207"/>
      <c r="E24" s="269"/>
      <c r="F24" s="258"/>
      <c r="G24" s="258"/>
      <c r="AO24" s="143"/>
      <c r="AP24" s="144"/>
      <c r="AS24" s="86"/>
      <c r="AT24" s="86"/>
      <c r="AU24" s="86"/>
      <c r="AW24" s="86"/>
      <c r="AX24" s="86"/>
      <c r="AY24" s="86"/>
      <c r="AZ24" s="86"/>
      <c r="BB24" s="86"/>
      <c r="BG24" s="146"/>
      <c r="BH24" s="146"/>
      <c r="BJ24" s="89"/>
    </row>
    <row r="25" spans="2:65">
      <c r="B25" s="151"/>
      <c r="C25" s="151"/>
      <c r="D25" s="151"/>
      <c r="E25" s="269"/>
      <c r="F25" s="258"/>
      <c r="G25" s="258"/>
      <c r="AO25" s="143"/>
      <c r="AP25" s="144"/>
      <c r="AS25" s="86"/>
      <c r="AT25" s="86"/>
      <c r="AU25" s="86"/>
      <c r="AW25" s="86"/>
      <c r="AX25" s="86"/>
      <c r="AY25" s="86"/>
      <c r="AZ25" s="86"/>
      <c r="BB25" s="86"/>
      <c r="BG25" s="146"/>
      <c r="BH25" s="146"/>
      <c r="BJ25" s="89"/>
    </row>
    <row r="26" spans="2:65">
      <c r="B26" s="151"/>
      <c r="C26" s="151"/>
      <c r="D26" s="151"/>
      <c r="E26" s="269"/>
      <c r="F26" s="258"/>
      <c r="G26" s="258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U26" s="146"/>
      <c r="V26" s="146"/>
      <c r="W26" s="146"/>
      <c r="X26" s="146"/>
      <c r="Y26" s="146"/>
      <c r="AD26" s="146"/>
      <c r="AE26" s="146"/>
      <c r="AF26" s="146"/>
      <c r="AG26" s="146"/>
      <c r="AH26" s="146"/>
      <c r="AI26" s="146"/>
      <c r="AL26" s="146"/>
      <c r="AM26" s="146"/>
      <c r="AN26" s="146"/>
      <c r="AO26" s="143"/>
      <c r="AP26" s="144"/>
      <c r="AR26" s="146"/>
      <c r="AS26" s="86"/>
      <c r="AT26" s="86"/>
      <c r="AU26" s="86"/>
      <c r="AW26" s="86"/>
      <c r="AX26" s="86"/>
      <c r="AY26" s="86"/>
      <c r="AZ26" s="86"/>
      <c r="BB26" s="86"/>
      <c r="BE26" s="146"/>
      <c r="BF26" s="146"/>
      <c r="BG26" s="146"/>
      <c r="BH26" s="146"/>
      <c r="BJ26" s="89"/>
      <c r="BK26" s="146"/>
      <c r="BL26" s="146"/>
      <c r="BM26" s="146"/>
    </row>
    <row r="27" spans="2:65">
      <c r="B27" s="142"/>
      <c r="C27" s="142"/>
      <c r="D27" s="142"/>
      <c r="E27" s="142"/>
      <c r="F27" s="142"/>
      <c r="G27" s="142"/>
      <c r="AP27" s="144"/>
      <c r="AQ27" s="146"/>
      <c r="BH27" s="146"/>
      <c r="BJ27" s="89"/>
    </row>
    <row r="28" spans="2:65" ht="7.5" customHeight="1">
      <c r="B28" s="160"/>
      <c r="C28" s="160"/>
      <c r="D28" s="160"/>
      <c r="E28" s="160"/>
      <c r="F28" s="160"/>
      <c r="G28" s="160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U28" s="146"/>
      <c r="V28" s="146"/>
      <c r="W28" s="146"/>
      <c r="X28" s="146"/>
      <c r="Y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3"/>
      <c r="AP28" s="144"/>
      <c r="AR28" s="146"/>
      <c r="AS28" s="86"/>
      <c r="AT28" s="86"/>
      <c r="AU28" s="86"/>
      <c r="AW28" s="86"/>
      <c r="AX28" s="86"/>
      <c r="AY28" s="86"/>
      <c r="AZ28" s="86"/>
      <c r="BB28" s="86"/>
      <c r="BE28" s="146"/>
      <c r="BF28" s="146"/>
      <c r="BG28" s="146"/>
      <c r="BH28" s="146"/>
      <c r="BJ28" s="89"/>
      <c r="BK28" s="146"/>
      <c r="BL28" s="146"/>
      <c r="BM28" s="146"/>
    </row>
    <row r="29" spans="2:65" ht="7.5" customHeight="1">
      <c r="B29" s="142"/>
      <c r="C29" s="142"/>
      <c r="D29" s="142"/>
      <c r="E29" s="142"/>
      <c r="F29" s="142"/>
      <c r="G29" s="142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U29" s="146"/>
      <c r="V29" s="146"/>
      <c r="W29" s="146"/>
      <c r="X29" s="146"/>
      <c r="Y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3"/>
      <c r="AP29" s="144"/>
      <c r="AR29" s="146"/>
      <c r="AS29" s="86"/>
      <c r="AT29" s="86"/>
      <c r="AU29" s="86"/>
      <c r="AW29" s="86"/>
      <c r="AX29" s="86"/>
      <c r="AY29" s="86"/>
      <c r="AZ29" s="86"/>
      <c r="BB29" s="86"/>
      <c r="BE29" s="146"/>
      <c r="BF29" s="146"/>
      <c r="BG29" s="146"/>
      <c r="BH29" s="146"/>
      <c r="BJ29" s="89"/>
      <c r="BK29" s="146"/>
      <c r="BL29" s="146"/>
      <c r="BM29" s="146"/>
    </row>
    <row r="30" spans="2:65" ht="23.25">
      <c r="B30" s="142"/>
      <c r="C30" s="142"/>
      <c r="D30" s="142"/>
      <c r="E30" s="173" t="s">
        <v>548</v>
      </c>
      <c r="G30" s="142"/>
      <c r="AP30" s="144"/>
      <c r="AQ30" s="146"/>
      <c r="BH30" s="146"/>
      <c r="BJ30" s="89"/>
    </row>
    <row r="31" spans="2:65" ht="16.5" customHeight="1">
      <c r="B31" s="142"/>
      <c r="C31" s="142"/>
      <c r="D31" s="142"/>
      <c r="E31" s="142"/>
      <c r="F31" s="158"/>
      <c r="G31" s="142"/>
      <c r="AP31" s="144"/>
      <c r="AQ31" s="146"/>
      <c r="BH31" s="146"/>
      <c r="BJ31" s="89"/>
    </row>
    <row r="32" spans="2:65" s="136" customFormat="1">
      <c r="B32" s="11"/>
      <c r="C32" s="11"/>
      <c r="D32" s="11"/>
      <c r="E32" s="30" t="s">
        <v>546</v>
      </c>
      <c r="F32" s="171" t="s">
        <v>547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43"/>
      <c r="AP32" s="144"/>
      <c r="AQ32" s="146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46"/>
      <c r="BI32" s="11"/>
      <c r="BJ32" s="11"/>
      <c r="BK32" s="11"/>
      <c r="BL32" s="11"/>
      <c r="BM32" s="11"/>
    </row>
    <row r="33" spans="2:65">
      <c r="B33" s="155"/>
      <c r="C33" s="152"/>
      <c r="D33" s="152"/>
      <c r="E33" s="167"/>
      <c r="F33" s="172"/>
      <c r="G33" s="170"/>
      <c r="AO33" s="143"/>
      <c r="AP33" s="144"/>
      <c r="AQ33" s="146"/>
      <c r="BH33" s="146"/>
    </row>
    <row r="34" spans="2:65">
      <c r="B34" s="168"/>
      <c r="C34" s="152"/>
      <c r="D34" s="152"/>
      <c r="E34" s="167"/>
      <c r="F34" s="169"/>
      <c r="G34" s="170"/>
      <c r="AO34" s="143"/>
      <c r="AP34" s="144"/>
      <c r="AQ34" s="146"/>
      <c r="BH34" s="146"/>
    </row>
    <row r="35" spans="2:65">
      <c r="B35" s="168"/>
      <c r="C35" s="152"/>
      <c r="D35" s="152"/>
      <c r="E35" s="167"/>
      <c r="F35" s="169"/>
      <c r="G35" s="170"/>
      <c r="U35" s="146"/>
      <c r="V35" s="146"/>
      <c r="W35" s="146"/>
      <c r="Y35" s="146"/>
      <c r="AA35" s="146"/>
      <c r="AB35" s="146"/>
      <c r="AD35" s="146"/>
      <c r="AE35" s="146"/>
      <c r="AG35" s="146"/>
      <c r="AH35" s="146"/>
      <c r="AI35" s="146"/>
      <c r="AJ35" s="146"/>
      <c r="AK35" s="146"/>
      <c r="AL35" s="146"/>
      <c r="AM35" s="146"/>
      <c r="AN35" s="146"/>
      <c r="AO35" s="143"/>
      <c r="AP35" s="144"/>
      <c r="AQ35" s="146"/>
      <c r="AR35" s="146"/>
      <c r="AT35" s="146"/>
      <c r="AU35" s="146"/>
      <c r="AV35" s="146"/>
      <c r="AW35" s="146"/>
      <c r="AX35" s="146"/>
      <c r="AY35" s="146"/>
      <c r="AZ35" s="146"/>
      <c r="BA35" s="146"/>
      <c r="BB35" s="146"/>
      <c r="BD35" s="146"/>
      <c r="BE35" s="146"/>
      <c r="BF35" s="146"/>
      <c r="BG35" s="146"/>
      <c r="BH35" s="146"/>
      <c r="BI35" s="146"/>
      <c r="BJ35" s="89"/>
      <c r="BK35" s="146"/>
      <c r="BL35" s="146"/>
      <c r="BM35" s="146"/>
    </row>
    <row r="36" spans="2:65" s="136" customFormat="1">
      <c r="B36" s="155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2:65" s="136" customFormat="1">
      <c r="B37" s="155"/>
      <c r="C37" s="151"/>
      <c r="D37" s="152"/>
      <c r="E37" s="167"/>
      <c r="F37" s="172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2:65" s="136" customFormat="1">
      <c r="B38" s="155"/>
      <c r="C38" s="152"/>
      <c r="D38" s="152"/>
      <c r="E38" s="167"/>
      <c r="F38" s="172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2:65" s="136" customFormat="1">
      <c r="B39" s="155"/>
      <c r="C39" s="152"/>
      <c r="D39" s="152"/>
      <c r="E39" s="167"/>
      <c r="F39" s="172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2:65" s="136" customFormat="1">
      <c r="B40" s="168"/>
      <c r="C40" s="152"/>
      <c r="D40" s="152"/>
      <c r="E40" s="167"/>
      <c r="F40" s="169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2:65" s="136" customFormat="1">
      <c r="B41" s="168"/>
      <c r="C41" s="152"/>
      <c r="D41" s="152"/>
      <c r="E41" s="167"/>
      <c r="F41" s="169"/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2:65" s="136" customFormat="1">
      <c r="B42" s="168"/>
      <c r="C42" s="152"/>
      <c r="D42" s="152"/>
      <c r="E42" s="167"/>
      <c r="F42" s="169"/>
      <c r="G42" s="17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2:65" s="136" customFormat="1">
      <c r="B43" s="168"/>
      <c r="C43" s="152"/>
      <c r="D43" s="152"/>
      <c r="E43" s="167"/>
      <c r="F43" s="169"/>
      <c r="G43" s="17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2:65" s="136" customFormat="1">
      <c r="B44" s="155"/>
      <c r="C44" s="152"/>
      <c r="D44" s="152"/>
      <c r="E44" s="167"/>
      <c r="F44" s="172"/>
      <c r="G44" s="17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2:65" s="136" customFormat="1">
      <c r="B45" s="155"/>
      <c r="C45" s="152"/>
      <c r="D45" s="152"/>
      <c r="E45" s="167"/>
      <c r="F45" s="172"/>
      <c r="G45" s="17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2:65" s="136" customFormat="1">
      <c r="B46" s="155"/>
      <c r="C46" s="152"/>
      <c r="D46" s="152"/>
      <c r="E46" s="167"/>
      <c r="F46" s="172"/>
      <c r="G46" s="17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2:65" s="136" customFormat="1">
      <c r="B47" s="155"/>
      <c r="C47" s="152"/>
      <c r="D47" s="152"/>
      <c r="E47" s="167"/>
      <c r="F47" s="172"/>
      <c r="G47" s="17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2:65" s="136" customFormat="1">
      <c r="B48" s="168"/>
      <c r="C48" s="152"/>
      <c r="D48" s="152"/>
      <c r="E48" s="167"/>
      <c r="F48" s="169"/>
      <c r="G48" s="17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2:65" s="136" customFormat="1">
      <c r="B49" s="168"/>
      <c r="C49" s="152"/>
      <c r="D49" s="152"/>
      <c r="E49" s="167"/>
      <c r="F49" s="169"/>
      <c r="G49" s="17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2:65" s="136" customFormat="1">
      <c r="B50" s="155"/>
      <c r="C50" s="151"/>
      <c r="D50" s="152"/>
      <c r="E50" s="167"/>
      <c r="F50" s="172"/>
      <c r="G50" s="17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2:65" s="136" customFormat="1">
      <c r="B51" s="155"/>
      <c r="C51" s="151"/>
      <c r="D51" s="152"/>
      <c r="E51" s="167"/>
      <c r="F51" s="172"/>
      <c r="G51" s="17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2:65" s="136" customFormat="1">
      <c r="B52" s="146"/>
      <c r="C52" s="146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2:65" s="136" customFormat="1">
      <c r="B53" s="146"/>
      <c r="C53" s="146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2:65" s="136" customFormat="1">
      <c r="B54" s="146"/>
      <c r="C54" s="146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2:65" s="136" customFormat="1">
      <c r="B55" s="146"/>
      <c r="C55" s="146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2:65" s="136" customFormat="1">
      <c r="B56" s="146"/>
      <c r="C56" s="146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2:65" s="136" customFormat="1">
      <c r="B57" s="146"/>
      <c r="C57" s="146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2:65" s="136" customFormat="1">
      <c r="B58" s="146"/>
      <c r="C58" s="146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2:65" s="136" customFormat="1">
      <c r="B59" s="146"/>
      <c r="C59" s="146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2:65" s="136" customFormat="1">
      <c r="B60" s="146"/>
      <c r="C60" s="146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2:65" s="136" customFormat="1">
      <c r="B61" s="146"/>
      <c r="C61" s="146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2:65" s="136" customFormat="1">
      <c r="B62" s="146"/>
      <c r="C62" s="146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2:65" s="136" customFormat="1">
      <c r="B63" s="146"/>
      <c r="C63" s="146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2:65" s="136" customFormat="1">
      <c r="B64" s="146"/>
      <c r="C64" s="146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2:65" s="136" customFormat="1">
      <c r="B65" s="146"/>
      <c r="C65" s="146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2:65" s="136" customFormat="1">
      <c r="B66" s="146"/>
      <c r="C66" s="146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2:65" s="136" customFormat="1">
      <c r="B67" s="146"/>
      <c r="C67" s="146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2:65" s="136" customFormat="1">
      <c r="B68" s="146"/>
      <c r="C68" s="146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2:65" s="136" customFormat="1">
      <c r="B69" s="146"/>
      <c r="C69" s="146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2:65" s="136" customFormat="1">
      <c r="B70" s="146"/>
      <c r="C70" s="146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2:65" s="136" customFormat="1">
      <c r="B71" s="146"/>
      <c r="C71" s="146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2:65" s="136" customFormat="1">
      <c r="B72" s="146"/>
      <c r="C72" s="146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2:65" s="136" customFormat="1">
      <c r="B73" s="146"/>
      <c r="C73" s="146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2:65" s="136" customFormat="1">
      <c r="B74" s="146"/>
      <c r="C74" s="146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2:65" s="136" customFormat="1">
      <c r="B75" s="146"/>
      <c r="C75" s="146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2:65" s="136" customFormat="1">
      <c r="B76" s="146"/>
      <c r="C76" s="146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2:65" s="136" customFormat="1">
      <c r="B77" s="146"/>
      <c r="C77" s="146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2:65" s="136" customFormat="1">
      <c r="B78" s="146"/>
      <c r="C78" s="146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2:65" s="136" customFormat="1">
      <c r="B79" s="146"/>
      <c r="C79" s="146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2:65" s="136" customFormat="1">
      <c r="B80" s="146"/>
      <c r="C80" s="146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2:65" s="136" customFormat="1">
      <c r="B81" s="146"/>
      <c r="C81" s="146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2:65" s="136" customFormat="1">
      <c r="B82" s="146"/>
      <c r="C82" s="146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2:65" s="136" customFormat="1">
      <c r="B83" s="146"/>
      <c r="C83" s="146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2:65" s="136" customFormat="1">
      <c r="B84" s="146"/>
      <c r="C84" s="146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2:65" s="136" customFormat="1">
      <c r="B85" s="146"/>
      <c r="C85" s="146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2:65" s="136" customFormat="1">
      <c r="B86" s="146"/>
      <c r="C86" s="146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2:65" s="136" customFormat="1">
      <c r="B87" s="146"/>
      <c r="C87" s="146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2:65" s="136" customFormat="1">
      <c r="B88" s="146"/>
      <c r="C88" s="146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2:65" s="136" customFormat="1">
      <c r="B89" s="146"/>
      <c r="C89" s="146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2:65" s="136" customFormat="1">
      <c r="B90" s="146"/>
      <c r="C90" s="146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2:65" s="136" customFormat="1">
      <c r="B91" s="146"/>
      <c r="C91" s="146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2:65" s="136" customFormat="1">
      <c r="B92" s="146"/>
      <c r="C92" s="146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2:65" s="136" customFormat="1">
      <c r="B93" s="146"/>
      <c r="C93" s="146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2:65" s="136" customFormat="1">
      <c r="B94" s="146"/>
      <c r="C94" s="146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2:65" s="136" customFormat="1">
      <c r="B95" s="146"/>
      <c r="C95" s="146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2:65" s="136" customFormat="1">
      <c r="B96" s="146"/>
      <c r="C96" s="146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2:65" s="136" customFormat="1">
      <c r="B97" s="146"/>
      <c r="C97" s="146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2:65" s="136" customFormat="1">
      <c r="B98" s="146"/>
      <c r="C98" s="146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2:65" s="136" customFormat="1">
      <c r="B99" s="146"/>
      <c r="C99" s="146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2:65" s="136" customFormat="1">
      <c r="B100" s="146"/>
      <c r="C100" s="146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2:65" s="136" customFormat="1">
      <c r="B101" s="146"/>
      <c r="C101" s="146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2:65" s="136" customFormat="1">
      <c r="B102" s="146"/>
      <c r="C102" s="146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2:65" s="136" customFormat="1">
      <c r="B103" s="146"/>
      <c r="C103" s="146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2:65" s="136" customFormat="1">
      <c r="B104" s="146"/>
      <c r="C104" s="146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2:65" s="136" customFormat="1">
      <c r="B105" s="146"/>
      <c r="C105" s="146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2:65" s="136" customFormat="1">
      <c r="B106" s="146"/>
      <c r="C106" s="146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2:65" s="136" customFormat="1">
      <c r="B107" s="146"/>
      <c r="C107" s="146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2:65" s="136" customFormat="1">
      <c r="B108" s="146"/>
      <c r="C108" s="146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2:65" s="136" customFormat="1">
      <c r="B109" s="146"/>
      <c r="C109" s="146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2:65" s="136" customFormat="1">
      <c r="B110" s="146"/>
      <c r="C110" s="146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2:65" s="136" customFormat="1">
      <c r="B111" s="146"/>
      <c r="C111" s="146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2:65" s="136" customFormat="1">
      <c r="B112" s="146"/>
      <c r="C112" s="146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2:65" s="136" customFormat="1">
      <c r="B113" s="146"/>
      <c r="C113" s="146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2:65" s="136" customFormat="1">
      <c r="B114" s="146"/>
      <c r="C114" s="146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2:65" s="136" customFormat="1">
      <c r="B115" s="146"/>
      <c r="C115" s="146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2:65" s="136" customFormat="1">
      <c r="B116" s="146"/>
      <c r="C116" s="146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2:65" s="136" customFormat="1">
      <c r="B117" s="146"/>
      <c r="C117" s="146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2:65" s="136" customFormat="1">
      <c r="B118" s="146"/>
      <c r="C118" s="146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2:65" s="136" customFormat="1">
      <c r="B119" s="146"/>
      <c r="C119" s="146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2:65" s="136" customFormat="1">
      <c r="B120" s="146"/>
      <c r="C120" s="146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2:65" s="136" customFormat="1">
      <c r="B121" s="146"/>
      <c r="C121" s="146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2:65" s="136" customFormat="1">
      <c r="B122" s="146"/>
      <c r="C122" s="146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2:65" s="136" customFormat="1">
      <c r="B123" s="146"/>
      <c r="C123" s="146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2:65" s="136" customFormat="1">
      <c r="B124" s="146"/>
      <c r="C124" s="146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2:65" s="136" customFormat="1">
      <c r="B125" s="146"/>
      <c r="C125" s="146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2:65" s="136" customFormat="1">
      <c r="B126" s="146"/>
      <c r="C126" s="146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2:65" s="136" customFormat="1">
      <c r="B127" s="146"/>
      <c r="C127" s="146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2:65" s="136" customFormat="1">
      <c r="B128" s="146"/>
      <c r="C128" s="146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2:65" s="136" customFormat="1">
      <c r="B129" s="146"/>
      <c r="C129" s="146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2:65" s="136" customFormat="1">
      <c r="B130" s="146"/>
      <c r="C130" s="146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2:65" s="136" customFormat="1">
      <c r="B131" s="146"/>
      <c r="C131" s="146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2:65" s="136" customFormat="1">
      <c r="B132" s="146"/>
      <c r="C132" s="146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2:65" s="136" customFormat="1">
      <c r="B133" s="146"/>
      <c r="C133" s="146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2:65" s="136" customFormat="1">
      <c r="B134" s="146"/>
      <c r="C134" s="146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2:65" s="136" customFormat="1">
      <c r="B135" s="146"/>
      <c r="C135" s="146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2:65" s="136" customFormat="1">
      <c r="B136" s="146"/>
      <c r="C136" s="146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2:65" s="136" customFormat="1">
      <c r="B137" s="146"/>
      <c r="C137" s="146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2:65" s="136" customFormat="1">
      <c r="B138" s="146"/>
      <c r="C138" s="146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2:65" s="136" customFormat="1">
      <c r="B139" s="146"/>
      <c r="C139" s="146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2:65" s="136" customFormat="1">
      <c r="B140" s="146"/>
      <c r="C140" s="146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2:65" s="136" customFormat="1">
      <c r="B141" s="146"/>
      <c r="C141" s="146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2:65" s="136" customFormat="1">
      <c r="B142" s="146"/>
      <c r="C142" s="146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2:65" s="136" customFormat="1">
      <c r="B143" s="146"/>
      <c r="C143" s="146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2:65" s="136" customFormat="1">
      <c r="B144" s="146"/>
      <c r="C144" s="146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2:65" s="136" customFormat="1">
      <c r="B145" s="146"/>
      <c r="C145" s="146"/>
      <c r="D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2:65" s="136" customFormat="1">
      <c r="B146" s="146"/>
      <c r="C146" s="146"/>
      <c r="D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2:65" s="136" customFormat="1">
      <c r="B147" s="146"/>
      <c r="C147" s="146"/>
      <c r="D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2:65" s="136" customFormat="1">
      <c r="B148" s="146"/>
      <c r="C148" s="146"/>
      <c r="D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2:65" s="136" customFormat="1">
      <c r="B149" s="146"/>
      <c r="C149" s="146"/>
      <c r="D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2:65" s="136" customFormat="1">
      <c r="B150" s="146"/>
      <c r="C150" s="146"/>
      <c r="D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2:65" s="136" customFormat="1">
      <c r="B151" s="146"/>
      <c r="C151" s="146"/>
      <c r="D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2:65" s="136" customFormat="1">
      <c r="B152" s="146"/>
      <c r="C152" s="146"/>
      <c r="D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2:65" s="136" customFormat="1">
      <c r="B153" s="146"/>
      <c r="C153" s="146"/>
      <c r="D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2:65" s="136" customFormat="1">
      <c r="B154" s="146"/>
      <c r="C154" s="146"/>
      <c r="D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</sheetData>
  <pageMargins left="0.25" right="0.25" top="0.5" bottom="0.75" header="0.25" footer="0.25"/>
  <pageSetup paperSize="17" scale="95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N154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0" sqref="B10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.7109375" style="11" customWidth="1"/>
    <col min="5" max="5" width="11.140625" style="11" customWidth="1"/>
    <col min="6" max="6" width="49.28515625" style="136" customWidth="1"/>
    <col min="7" max="7" width="22.7109375" style="11" customWidth="1"/>
    <col min="8" max="8" width="15.7109375" style="11" customWidth="1"/>
    <col min="9" max="9" width="14.7109375" style="11" customWidth="1"/>
    <col min="10" max="10" width="12.5703125" style="11" customWidth="1"/>
    <col min="11" max="11" width="13.42578125" style="11" customWidth="1"/>
    <col min="12" max="12" width="13.140625" style="11" customWidth="1"/>
    <col min="13" max="13" width="13.42578125" style="11" customWidth="1"/>
    <col min="14" max="14" width="13.28515625" style="11" customWidth="1"/>
    <col min="15" max="15" width="13.42578125" style="11" customWidth="1"/>
    <col min="16" max="16" width="10.7109375" style="11" customWidth="1"/>
    <col min="17" max="17" width="13.42578125" style="11" customWidth="1"/>
    <col min="18" max="18" width="9.7109375" style="11" customWidth="1"/>
    <col min="19" max="19" width="13.140625" style="11" customWidth="1"/>
    <col min="20" max="20" width="12.140625" style="11" customWidth="1"/>
    <col min="21" max="21" width="11.42578125" style="11" customWidth="1"/>
    <col min="22" max="22" width="6.140625" style="11" customWidth="1"/>
    <col min="23" max="23" width="9.7109375" style="11" customWidth="1"/>
    <col min="24" max="24" width="7.140625" style="11" customWidth="1"/>
    <col min="25" max="25" width="11.28515625" style="11" customWidth="1"/>
    <col min="26" max="26" width="9.42578125" style="11" customWidth="1"/>
    <col min="27" max="27" width="10.5703125" style="11" customWidth="1"/>
    <col min="28" max="29" width="8.42578125" style="11" customWidth="1"/>
    <col min="30" max="30" width="12.5703125" style="11" customWidth="1"/>
    <col min="31" max="31" width="7.7109375" style="11" customWidth="1"/>
    <col min="32" max="32" width="10.28515625" style="11" customWidth="1"/>
    <col min="33" max="33" width="15.5703125" style="11" customWidth="1"/>
    <col min="34" max="34" width="9.5703125" style="11" customWidth="1"/>
    <col min="35" max="35" width="10.5703125" style="11" customWidth="1"/>
    <col min="36" max="36" width="6.140625" style="11" customWidth="1"/>
    <col min="37" max="38" width="9.28515625" style="11" customWidth="1"/>
    <col min="39" max="39" width="14.140625" style="11" customWidth="1"/>
    <col min="40" max="40" width="11" style="11" customWidth="1"/>
    <col min="41" max="41" width="9.140625" style="11" customWidth="1"/>
    <col min="42" max="42" width="13" style="11" customWidth="1"/>
    <col min="43" max="43" width="9.140625" style="11" customWidth="1"/>
    <col min="44" max="44" width="14.85546875" style="11" customWidth="1"/>
    <col min="45" max="45" width="17.140625" style="11" customWidth="1"/>
    <col min="46" max="46" width="7" style="11" bestFit="1" customWidth="1"/>
    <col min="47" max="47" width="17.85546875" style="11" customWidth="1"/>
    <col min="48" max="48" width="6.85546875" style="11" bestFit="1" customWidth="1"/>
    <col min="49" max="49" width="6.7109375" style="11" customWidth="1"/>
    <col min="50" max="50" width="7.5703125" style="11" bestFit="1" customWidth="1"/>
    <col min="51" max="51" width="7" style="11" bestFit="1" customWidth="1"/>
    <col min="52" max="52" width="20.140625" style="11" bestFit="1" customWidth="1"/>
    <col min="53" max="53" width="6.85546875" style="11" bestFit="1" customWidth="1"/>
    <col min="54" max="54" width="5.5703125" style="11" bestFit="1" customWidth="1"/>
    <col min="55" max="55" width="7.5703125" style="11" bestFit="1" customWidth="1"/>
    <col min="56" max="56" width="17.85546875" style="11" customWidth="1"/>
    <col min="57" max="57" width="10.42578125" style="11" bestFit="1" customWidth="1"/>
    <col min="58" max="58" width="12" style="11" bestFit="1" customWidth="1"/>
    <col min="59" max="60" width="14.42578125" style="11" bestFit="1" customWidth="1"/>
    <col min="61" max="61" width="13.28515625" style="11" bestFit="1" customWidth="1"/>
    <col min="62" max="62" width="16.28515625" style="11" bestFit="1" customWidth="1"/>
    <col min="63" max="63" width="22.28515625" style="11" customWidth="1"/>
    <col min="64" max="64" width="12.140625" style="11" hidden="1" customWidth="1"/>
    <col min="65" max="65" width="15.42578125" style="11" hidden="1" customWidth="1"/>
    <col min="66" max="66" width="12.42578125" style="11" hidden="1" customWidth="1"/>
    <col min="67" max="16384" width="9.140625" style="11"/>
  </cols>
  <sheetData>
    <row r="2" spans="1:66" ht="23.25">
      <c r="F2" s="9" t="s">
        <v>578</v>
      </c>
      <c r="H2" s="9"/>
      <c r="I2" s="10"/>
    </row>
    <row r="3" spans="1:66" ht="20.25">
      <c r="F3" s="242">
        <v>41760</v>
      </c>
    </row>
    <row r="4" spans="1:66" ht="15.75" customHeight="1">
      <c r="D4" s="137" t="s">
        <v>17</v>
      </c>
      <c r="E4" s="137"/>
      <c r="I4" s="16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Y4" s="18" t="s">
        <v>16</v>
      </c>
      <c r="Z4" s="18"/>
      <c r="AA4" s="17"/>
      <c r="AB4" s="17"/>
      <c r="AC4" s="19"/>
      <c r="AD4" s="19"/>
      <c r="AE4" s="19"/>
      <c r="AF4" s="19"/>
      <c r="AG4" s="19"/>
      <c r="AH4" s="19"/>
      <c r="AI4" s="19"/>
      <c r="AJ4" s="19"/>
      <c r="AP4" s="221" t="s">
        <v>703</v>
      </c>
      <c r="AQ4" s="221"/>
      <c r="AR4" s="271" t="s">
        <v>19</v>
      </c>
      <c r="AS4" s="271"/>
      <c r="AT4" s="272" t="s">
        <v>22</v>
      </c>
      <c r="AU4" s="272"/>
      <c r="AV4" s="272"/>
      <c r="AW4" s="272"/>
      <c r="AX4" s="272"/>
      <c r="AY4" s="273" t="s">
        <v>28</v>
      </c>
      <c r="AZ4" s="273"/>
      <c r="BA4" s="273"/>
      <c r="BB4" s="273"/>
      <c r="BC4" s="273"/>
      <c r="BD4" s="274" t="s">
        <v>34</v>
      </c>
      <c r="BE4" s="274"/>
      <c r="BF4" s="274"/>
      <c r="BG4" s="274"/>
      <c r="BH4" s="274"/>
      <c r="BI4" s="274"/>
      <c r="BJ4" s="274"/>
      <c r="BK4" s="274"/>
    </row>
    <row r="5" spans="1:66" ht="30">
      <c r="B5" s="139" t="s">
        <v>0</v>
      </c>
      <c r="C5" s="150" t="s">
        <v>658</v>
      </c>
      <c r="D5" s="139" t="s">
        <v>2</v>
      </c>
      <c r="E5" s="30" t="s">
        <v>56</v>
      </c>
      <c r="F5" s="30" t="s">
        <v>1</v>
      </c>
      <c r="G5" s="31" t="s">
        <v>3</v>
      </c>
      <c r="H5" s="31" t="s">
        <v>7</v>
      </c>
      <c r="I5" s="31" t="s">
        <v>4</v>
      </c>
      <c r="J5" s="31" t="s">
        <v>6</v>
      </c>
      <c r="K5" s="31" t="s">
        <v>5</v>
      </c>
      <c r="L5" s="31" t="s">
        <v>57</v>
      </c>
      <c r="M5" s="31" t="s">
        <v>54</v>
      </c>
      <c r="N5" s="31" t="s">
        <v>58</v>
      </c>
      <c r="O5" s="31" t="s">
        <v>59</v>
      </c>
      <c r="P5" s="31" t="s">
        <v>60</v>
      </c>
      <c r="Q5" s="31" t="s">
        <v>61</v>
      </c>
      <c r="R5" s="31" t="s">
        <v>62</v>
      </c>
      <c r="S5" s="31" t="s">
        <v>565</v>
      </c>
      <c r="T5" s="31" t="s">
        <v>62</v>
      </c>
      <c r="U5" s="32" t="s">
        <v>8</v>
      </c>
      <c r="V5" s="32" t="s">
        <v>47</v>
      </c>
      <c r="W5" s="32" t="s">
        <v>9</v>
      </c>
      <c r="X5" s="32" t="s">
        <v>36</v>
      </c>
      <c r="Y5" s="32" t="s">
        <v>10</v>
      </c>
      <c r="Z5" s="32" t="s">
        <v>48</v>
      </c>
      <c r="AA5" s="32" t="s">
        <v>11</v>
      </c>
      <c r="AB5" s="32" t="s">
        <v>53</v>
      </c>
      <c r="AC5" s="32" t="s">
        <v>12</v>
      </c>
      <c r="AD5" s="32" t="s">
        <v>52</v>
      </c>
      <c r="AE5" s="32" t="s">
        <v>49</v>
      </c>
      <c r="AF5" s="32" t="s">
        <v>14</v>
      </c>
      <c r="AG5" s="32" t="s">
        <v>37</v>
      </c>
      <c r="AH5" s="32" t="s">
        <v>50</v>
      </c>
      <c r="AI5" s="32" t="s">
        <v>51</v>
      </c>
      <c r="AJ5" s="32" t="s">
        <v>46</v>
      </c>
      <c r="AK5" s="32" t="s">
        <v>38</v>
      </c>
      <c r="AL5" s="32" t="s">
        <v>738</v>
      </c>
      <c r="AM5" s="32" t="s">
        <v>39</v>
      </c>
      <c r="AN5" s="32" t="s">
        <v>40</v>
      </c>
      <c r="AO5" s="32" t="s">
        <v>13</v>
      </c>
      <c r="AP5" s="140" t="s">
        <v>20</v>
      </c>
      <c r="AQ5" s="141" t="s">
        <v>21</v>
      </c>
      <c r="AR5" s="33" t="s">
        <v>18</v>
      </c>
      <c r="AS5" s="33" t="s">
        <v>55</v>
      </c>
      <c r="AT5" s="35" t="s">
        <v>23</v>
      </c>
      <c r="AU5" s="35" t="s">
        <v>24</v>
      </c>
      <c r="AV5" s="35" t="s">
        <v>25</v>
      </c>
      <c r="AW5" s="35" t="s">
        <v>26</v>
      </c>
      <c r="AX5" s="35" t="s">
        <v>27</v>
      </c>
      <c r="AY5" s="36" t="s">
        <v>23</v>
      </c>
      <c r="AZ5" s="36" t="s">
        <v>24</v>
      </c>
      <c r="BA5" s="36" t="s">
        <v>25</v>
      </c>
      <c r="BB5" s="36" t="s">
        <v>26</v>
      </c>
      <c r="BC5" s="36" t="s">
        <v>27</v>
      </c>
      <c r="BD5" s="37" t="s">
        <v>45</v>
      </c>
      <c r="BE5" s="38" t="s">
        <v>29</v>
      </c>
      <c r="BF5" s="38" t="s">
        <v>30</v>
      </c>
      <c r="BG5" s="38" t="s">
        <v>31</v>
      </c>
      <c r="BH5" s="38" t="s">
        <v>32</v>
      </c>
      <c r="BI5" s="38" t="s">
        <v>33</v>
      </c>
      <c r="BJ5" s="38" t="s">
        <v>35</v>
      </c>
      <c r="BK5" s="38" t="s">
        <v>44</v>
      </c>
      <c r="BL5" s="38" t="s">
        <v>41</v>
      </c>
      <c r="BM5" s="38" t="s">
        <v>42</v>
      </c>
      <c r="BN5" s="38" t="s">
        <v>43</v>
      </c>
    </row>
    <row r="6" spans="1:66">
      <c r="A6" s="244"/>
      <c r="B6" s="261" t="s">
        <v>1369</v>
      </c>
      <c r="C6" s="215" t="s">
        <v>541</v>
      </c>
      <c r="D6" s="261" t="s">
        <v>1303</v>
      </c>
      <c r="E6" s="246" t="s">
        <v>1370</v>
      </c>
      <c r="F6" s="313" t="s">
        <v>1371</v>
      </c>
      <c r="G6" s="86"/>
      <c r="H6" s="209"/>
      <c r="I6" s="209"/>
      <c r="J6" s="209"/>
      <c r="K6" s="182"/>
      <c r="L6" s="184"/>
      <c r="M6" s="197"/>
      <c r="N6" s="197"/>
      <c r="O6" s="197"/>
      <c r="P6" s="197"/>
      <c r="Q6" s="197"/>
      <c r="R6" s="197"/>
      <c r="S6" s="197"/>
      <c r="T6" s="197"/>
      <c r="U6" s="217"/>
      <c r="V6" s="217"/>
      <c r="W6" s="181"/>
      <c r="X6" s="217"/>
      <c r="Y6" s="219"/>
      <c r="Z6" s="217"/>
      <c r="AA6" s="219"/>
      <c r="AB6" s="250"/>
      <c r="AC6" s="209"/>
      <c r="AD6" s="209"/>
      <c r="AE6" s="215"/>
      <c r="AF6" s="215"/>
      <c r="AG6" s="209"/>
      <c r="AH6" s="215"/>
      <c r="AI6" s="215"/>
      <c r="AJ6" s="174"/>
      <c r="AK6" s="251"/>
      <c r="AL6" s="245"/>
      <c r="AM6" s="251"/>
      <c r="AN6" s="251"/>
      <c r="AO6" s="215"/>
      <c r="AP6" s="258">
        <v>87.17</v>
      </c>
      <c r="AQ6" s="175">
        <f t="shared" ref="AQ6:AQ15" si="0">AP6/0.444</f>
        <v>196.32882882882882</v>
      </c>
      <c r="AR6" s="188" t="s">
        <v>1372</v>
      </c>
      <c r="AS6" s="188" t="s">
        <v>1373</v>
      </c>
      <c r="AT6" s="241" t="s">
        <v>720</v>
      </c>
      <c r="AU6" s="241"/>
      <c r="AV6" s="241"/>
      <c r="AW6" s="241"/>
      <c r="AX6" s="241"/>
      <c r="AY6" s="311">
        <v>10.25</v>
      </c>
      <c r="AZ6" s="311">
        <v>8</v>
      </c>
      <c r="BA6" s="311">
        <v>10.5</v>
      </c>
      <c r="BB6" s="310">
        <f t="shared" ref="BB6:BB15" si="1">(BA6*AZ6*AY6)/1728</f>
        <v>0.4982638888888889</v>
      </c>
      <c r="BC6" s="311">
        <v>5.97</v>
      </c>
      <c r="BD6" s="264" t="s">
        <v>68</v>
      </c>
      <c r="BE6" s="194">
        <v>1</v>
      </c>
      <c r="BF6" s="194">
        <v>22</v>
      </c>
      <c r="BG6" s="194">
        <v>4</v>
      </c>
      <c r="BH6" s="194">
        <f t="shared" ref="BH6:BH15" si="2">BE6*BF6*BG6</f>
        <v>88</v>
      </c>
      <c r="BI6" s="194">
        <f t="shared" ref="BI6:BI15" si="3">(BC6*BF6*BG6)+50</f>
        <v>575.36</v>
      </c>
      <c r="BJ6" s="194" t="s">
        <v>65</v>
      </c>
      <c r="BK6" s="194" t="s">
        <v>107</v>
      </c>
      <c r="BL6" s="38"/>
      <c r="BM6" s="38"/>
      <c r="BN6" s="38"/>
    </row>
    <row r="7" spans="1:66">
      <c r="A7" s="244"/>
      <c r="B7" s="261" t="s">
        <v>1374</v>
      </c>
      <c r="C7" s="215" t="s">
        <v>541</v>
      </c>
      <c r="D7" s="261" t="s">
        <v>1303</v>
      </c>
      <c r="E7" s="246" t="s">
        <v>1370</v>
      </c>
      <c r="F7" s="314" t="s">
        <v>1375</v>
      </c>
      <c r="G7" s="209"/>
      <c r="H7" s="209"/>
      <c r="I7" s="209"/>
      <c r="J7" s="209"/>
      <c r="K7" s="182"/>
      <c r="L7" s="184"/>
      <c r="M7" s="197"/>
      <c r="N7" s="197"/>
      <c r="O7" s="197"/>
      <c r="P7" s="197"/>
      <c r="Q7" s="197"/>
      <c r="R7" s="197"/>
      <c r="S7" s="197"/>
      <c r="T7" s="197"/>
      <c r="U7" s="217"/>
      <c r="V7" s="217"/>
      <c r="W7" s="181"/>
      <c r="X7" s="217"/>
      <c r="Y7" s="219"/>
      <c r="Z7" s="217"/>
      <c r="AA7" s="219"/>
      <c r="AB7" s="250"/>
      <c r="AC7" s="209"/>
      <c r="AD7" s="209"/>
      <c r="AE7" s="215"/>
      <c r="AF7" s="215"/>
      <c r="AG7" s="209"/>
      <c r="AH7" s="215"/>
      <c r="AI7" s="215"/>
      <c r="AJ7" s="174"/>
      <c r="AK7" s="251"/>
      <c r="AL7" s="245"/>
      <c r="AM7" s="251"/>
      <c r="AN7" s="251"/>
      <c r="AO7" s="215"/>
      <c r="AP7" s="258">
        <v>40.479999999999997</v>
      </c>
      <c r="AQ7" s="175">
        <f t="shared" si="0"/>
        <v>91.171171171171167</v>
      </c>
      <c r="AR7" s="188" t="s">
        <v>1376</v>
      </c>
      <c r="AS7" s="188" t="s">
        <v>1377</v>
      </c>
      <c r="AT7" s="241" t="s">
        <v>720</v>
      </c>
      <c r="AU7" s="241"/>
      <c r="AV7" s="241"/>
      <c r="AW7" s="241"/>
      <c r="AX7" s="241"/>
      <c r="AY7" s="311">
        <v>9</v>
      </c>
      <c r="AZ7" s="311">
        <v>9</v>
      </c>
      <c r="BA7" s="311">
        <v>8.8699999999999992</v>
      </c>
      <c r="BB7" s="310">
        <f t="shared" si="1"/>
        <v>0.41578124999999999</v>
      </c>
      <c r="BC7" s="311">
        <v>3.16</v>
      </c>
      <c r="BD7" s="264" t="s">
        <v>68</v>
      </c>
      <c r="BE7" s="194">
        <v>1</v>
      </c>
      <c r="BF7" s="194">
        <v>20</v>
      </c>
      <c r="BG7" s="194">
        <v>5</v>
      </c>
      <c r="BH7" s="194">
        <f t="shared" si="2"/>
        <v>100</v>
      </c>
      <c r="BI7" s="194">
        <f t="shared" si="3"/>
        <v>366</v>
      </c>
      <c r="BJ7" s="194" t="s">
        <v>65</v>
      </c>
      <c r="BK7" s="194" t="s">
        <v>107</v>
      </c>
      <c r="BL7" s="38"/>
      <c r="BM7" s="38"/>
      <c r="BN7" s="38"/>
    </row>
    <row r="8" spans="1:66">
      <c r="A8" s="244"/>
      <c r="B8" s="261" t="s">
        <v>1378</v>
      </c>
      <c r="C8" s="215" t="s">
        <v>541</v>
      </c>
      <c r="D8" s="261" t="s">
        <v>1303</v>
      </c>
      <c r="E8" s="246" t="s">
        <v>1370</v>
      </c>
      <c r="F8" s="315" t="s">
        <v>1379</v>
      </c>
      <c r="G8" s="209"/>
      <c r="H8" s="209"/>
      <c r="I8" s="209"/>
      <c r="J8" s="209"/>
      <c r="K8" s="295"/>
      <c r="L8" s="316"/>
      <c r="M8" s="197"/>
      <c r="N8" s="197"/>
      <c r="O8" s="197"/>
      <c r="P8" s="197"/>
      <c r="Q8" s="197"/>
      <c r="R8" s="197"/>
      <c r="S8" s="197"/>
      <c r="T8" s="197"/>
      <c r="U8" s="217"/>
      <c r="V8" s="217"/>
      <c r="W8" s="317"/>
      <c r="X8" s="217"/>
      <c r="Y8" s="256"/>
      <c r="Z8" s="217"/>
      <c r="AA8" s="256"/>
      <c r="AB8" s="250"/>
      <c r="AC8" s="209"/>
      <c r="AD8" s="209"/>
      <c r="AE8" s="215"/>
      <c r="AF8" s="215"/>
      <c r="AG8" s="209"/>
      <c r="AH8" s="215"/>
      <c r="AI8" s="215"/>
      <c r="AJ8" s="174"/>
      <c r="AK8" s="251"/>
      <c r="AL8" s="245"/>
      <c r="AM8" s="251"/>
      <c r="AN8" s="251"/>
      <c r="AO8" s="215"/>
      <c r="AP8" s="258">
        <v>69.900000000000006</v>
      </c>
      <c r="AQ8" s="175">
        <f t="shared" si="0"/>
        <v>157.43243243243245</v>
      </c>
      <c r="AR8" s="266" t="s">
        <v>1380</v>
      </c>
      <c r="AS8" s="266" t="s">
        <v>1381</v>
      </c>
      <c r="AT8" s="275" t="s">
        <v>720</v>
      </c>
      <c r="AU8" s="318"/>
      <c r="AV8" s="318"/>
      <c r="AW8" s="318"/>
      <c r="AX8" s="319"/>
      <c r="AY8" s="311">
        <v>8.5299999999999994</v>
      </c>
      <c r="AZ8" s="311">
        <v>7.25</v>
      </c>
      <c r="BA8" s="311">
        <v>8.7799999999999994</v>
      </c>
      <c r="BB8" s="310">
        <f t="shared" si="1"/>
        <v>0.31422288773148144</v>
      </c>
      <c r="BC8" s="311">
        <v>3.79</v>
      </c>
      <c r="BD8" s="267" t="s">
        <v>68</v>
      </c>
      <c r="BE8" s="194">
        <v>1</v>
      </c>
      <c r="BF8" s="194">
        <v>27</v>
      </c>
      <c r="BG8" s="194">
        <v>4</v>
      </c>
      <c r="BH8" s="194">
        <f t="shared" si="2"/>
        <v>108</v>
      </c>
      <c r="BI8" s="194">
        <f t="shared" si="3"/>
        <v>459.32</v>
      </c>
      <c r="BJ8" s="194" t="s">
        <v>65</v>
      </c>
      <c r="BK8" s="194" t="s">
        <v>107</v>
      </c>
      <c r="BL8" s="38"/>
      <c r="BM8" s="38"/>
      <c r="BN8" s="38"/>
    </row>
    <row r="9" spans="1:66">
      <c r="A9" s="244"/>
      <c r="B9" s="261" t="s">
        <v>1382</v>
      </c>
      <c r="C9" s="215" t="s">
        <v>541</v>
      </c>
      <c r="D9" s="261" t="s">
        <v>1242</v>
      </c>
      <c r="E9" s="246" t="s">
        <v>587</v>
      </c>
      <c r="F9" s="246" t="s">
        <v>1383</v>
      </c>
      <c r="G9" s="209" t="s">
        <v>94</v>
      </c>
      <c r="H9" s="209" t="s">
        <v>1384</v>
      </c>
      <c r="I9" s="209"/>
      <c r="J9" s="209"/>
      <c r="K9" s="295"/>
      <c r="L9" s="316"/>
      <c r="M9" s="197"/>
      <c r="N9" s="197"/>
      <c r="O9" s="197"/>
      <c r="P9" s="197"/>
      <c r="Q9" s="197"/>
      <c r="R9" s="197"/>
      <c r="S9" s="197"/>
      <c r="T9" s="197"/>
      <c r="U9" s="217" t="s">
        <v>1385</v>
      </c>
      <c r="V9" s="217"/>
      <c r="W9" s="317"/>
      <c r="X9" s="217"/>
      <c r="Y9" s="256" t="s">
        <v>1386</v>
      </c>
      <c r="Z9" s="217"/>
      <c r="AA9" s="256" t="s">
        <v>1387</v>
      </c>
      <c r="AB9" s="250"/>
      <c r="AC9" s="209"/>
      <c r="AD9" s="209"/>
      <c r="AE9" s="215"/>
      <c r="AF9" s="215"/>
      <c r="AG9" s="209"/>
      <c r="AH9" s="215"/>
      <c r="AI9" s="215"/>
      <c r="AJ9" s="174"/>
      <c r="AK9" s="251"/>
      <c r="AL9" s="245"/>
      <c r="AM9" s="251"/>
      <c r="AN9" s="251"/>
      <c r="AO9" s="215">
        <v>57221</v>
      </c>
      <c r="AP9" s="258">
        <v>45.88</v>
      </c>
      <c r="AQ9" s="175">
        <f t="shared" si="0"/>
        <v>103.33333333333334</v>
      </c>
      <c r="AR9" s="266" t="s">
        <v>1388</v>
      </c>
      <c r="AS9" s="266" t="s">
        <v>1389</v>
      </c>
      <c r="AT9" s="307">
        <v>4.3125</v>
      </c>
      <c r="AU9" s="308">
        <v>4.3129999999999997</v>
      </c>
      <c r="AV9" s="308">
        <v>6.75</v>
      </c>
      <c r="AW9" s="288">
        <f>(AV9*AU9*AT9)/1728</f>
        <v>7.2655517578124995E-2</v>
      </c>
      <c r="AX9" s="309">
        <v>2.37</v>
      </c>
      <c r="AY9" s="311">
        <v>13.680999999999999</v>
      </c>
      <c r="AZ9" s="311">
        <v>9.2434999999999992</v>
      </c>
      <c r="BA9" s="311">
        <v>7.6120000000000001</v>
      </c>
      <c r="BB9" s="310">
        <f t="shared" si="1"/>
        <v>0.55706943430671285</v>
      </c>
      <c r="BC9" s="311">
        <f>AX9*BE9+0.25</f>
        <v>14.47</v>
      </c>
      <c r="BD9" s="267" t="s">
        <v>68</v>
      </c>
      <c r="BE9" s="194">
        <v>6</v>
      </c>
      <c r="BF9" s="194">
        <v>13</v>
      </c>
      <c r="BG9" s="194">
        <v>6</v>
      </c>
      <c r="BH9" s="194">
        <f t="shared" si="2"/>
        <v>468</v>
      </c>
      <c r="BI9" s="194">
        <f t="shared" si="3"/>
        <v>1178.6600000000001</v>
      </c>
      <c r="BJ9" s="268" t="s">
        <v>65</v>
      </c>
      <c r="BK9" s="194" t="s">
        <v>107</v>
      </c>
      <c r="BL9" s="38"/>
      <c r="BM9" s="38"/>
      <c r="BN9" s="38"/>
    </row>
    <row r="10" spans="1:66" ht="30">
      <c r="A10" s="244"/>
      <c r="B10" s="261" t="s">
        <v>1364</v>
      </c>
      <c r="C10" s="209" t="s">
        <v>541</v>
      </c>
      <c r="D10" s="261" t="s">
        <v>1307</v>
      </c>
      <c r="E10" s="246" t="s">
        <v>304</v>
      </c>
      <c r="F10" s="246" t="s">
        <v>1390</v>
      </c>
      <c r="G10" s="209" t="s">
        <v>306</v>
      </c>
      <c r="H10" s="209" t="s">
        <v>1368</v>
      </c>
      <c r="I10" s="209" t="s">
        <v>306</v>
      </c>
      <c r="J10" s="209" t="s">
        <v>1391</v>
      </c>
      <c r="K10" s="295"/>
      <c r="L10" s="316"/>
      <c r="M10" s="197"/>
      <c r="N10" s="197"/>
      <c r="O10" s="197"/>
      <c r="P10" s="197"/>
      <c r="Q10" s="197"/>
      <c r="R10" s="197"/>
      <c r="S10" s="197"/>
      <c r="T10" s="197"/>
      <c r="U10" s="217"/>
      <c r="V10" s="217"/>
      <c r="W10" s="317">
        <v>84669</v>
      </c>
      <c r="X10" s="217"/>
      <c r="Y10" s="256"/>
      <c r="Z10" s="217"/>
      <c r="AA10" s="256"/>
      <c r="AB10" s="250"/>
      <c r="AC10" s="209"/>
      <c r="AD10" s="209"/>
      <c r="AE10" s="215"/>
      <c r="AF10" s="215"/>
      <c r="AG10" s="209"/>
      <c r="AH10" s="215"/>
      <c r="AI10" s="215"/>
      <c r="AJ10" s="174">
        <v>7669</v>
      </c>
      <c r="AK10" s="251"/>
      <c r="AL10" s="245"/>
      <c r="AM10" s="251"/>
      <c r="AN10" s="251"/>
      <c r="AO10" s="215">
        <v>57669</v>
      </c>
      <c r="AP10" s="258">
        <v>33.950000000000003</v>
      </c>
      <c r="AQ10" s="175">
        <f t="shared" si="0"/>
        <v>76.463963963963963</v>
      </c>
      <c r="AR10" s="188" t="s">
        <v>1365</v>
      </c>
      <c r="AS10" s="188" t="s">
        <v>1366</v>
      </c>
      <c r="AT10" s="395" t="s">
        <v>720</v>
      </c>
      <c r="AU10" s="396"/>
      <c r="AV10" s="396"/>
      <c r="AW10" s="396"/>
      <c r="AX10" s="397"/>
      <c r="AY10" s="311">
        <v>19.125</v>
      </c>
      <c r="AZ10" s="311">
        <v>14.494999999999999</v>
      </c>
      <c r="BA10" s="311">
        <v>10.37</v>
      </c>
      <c r="BB10" s="310">
        <f t="shared" si="1"/>
        <v>1.6636221028645832</v>
      </c>
      <c r="BC10" s="311">
        <f>2.12*BE10+0.4</f>
        <v>25.84</v>
      </c>
      <c r="BD10" s="264" t="s">
        <v>68</v>
      </c>
      <c r="BE10" s="194">
        <v>12</v>
      </c>
      <c r="BF10" s="194">
        <v>6</v>
      </c>
      <c r="BG10" s="194">
        <v>4</v>
      </c>
      <c r="BH10" s="194">
        <f t="shared" si="2"/>
        <v>288</v>
      </c>
      <c r="BI10" s="194">
        <f t="shared" si="3"/>
        <v>670.16</v>
      </c>
      <c r="BJ10" s="194" t="s">
        <v>65</v>
      </c>
      <c r="BK10" s="194" t="s">
        <v>107</v>
      </c>
      <c r="BL10" s="38"/>
      <c r="BM10" s="38"/>
      <c r="BN10" s="38"/>
    </row>
    <row r="11" spans="1:66">
      <c r="A11" s="244"/>
      <c r="B11" s="261" t="s">
        <v>1392</v>
      </c>
      <c r="C11" s="261" t="s">
        <v>582</v>
      </c>
      <c r="D11" s="261" t="s">
        <v>1393</v>
      </c>
      <c r="E11" s="246" t="s">
        <v>85</v>
      </c>
      <c r="F11" s="246" t="s">
        <v>1394</v>
      </c>
      <c r="G11" s="209" t="s">
        <v>913</v>
      </c>
      <c r="H11" s="209" t="s">
        <v>1395</v>
      </c>
      <c r="I11" s="209"/>
      <c r="J11" s="209"/>
      <c r="K11" s="295"/>
      <c r="L11" s="316"/>
      <c r="M11" s="197"/>
      <c r="N11" s="197"/>
      <c r="O11" s="197"/>
      <c r="P11" s="197"/>
      <c r="Q11" s="197"/>
      <c r="R11" s="197"/>
      <c r="S11" s="197"/>
      <c r="T11" s="197"/>
      <c r="U11" s="217"/>
      <c r="V11" s="217"/>
      <c r="W11" s="317"/>
      <c r="X11" s="217"/>
      <c r="Y11" s="256"/>
      <c r="Z11" s="217"/>
      <c r="AA11" s="256"/>
      <c r="AB11" s="250" t="s">
        <v>1396</v>
      </c>
      <c r="AC11" s="209"/>
      <c r="AD11" s="209"/>
      <c r="AE11" s="209" t="s">
        <v>1397</v>
      </c>
      <c r="AF11" s="215"/>
      <c r="AG11" s="209"/>
      <c r="AH11" s="215"/>
      <c r="AI11" s="215"/>
      <c r="AJ11" s="174"/>
      <c r="AK11" s="251" t="s">
        <v>1398</v>
      </c>
      <c r="AL11" s="245"/>
      <c r="AM11" s="251" t="s">
        <v>1399</v>
      </c>
      <c r="AN11" s="251" t="s">
        <v>1400</v>
      </c>
      <c r="AO11" s="215">
        <v>49008</v>
      </c>
      <c r="AP11" s="258">
        <v>33.97</v>
      </c>
      <c r="AQ11" s="175">
        <f t="shared" si="0"/>
        <v>76.509009009009006</v>
      </c>
      <c r="AR11" s="266" t="s">
        <v>1401</v>
      </c>
      <c r="AS11" s="266" t="s">
        <v>1402</v>
      </c>
      <c r="AT11" s="311">
        <v>8.6560000000000006</v>
      </c>
      <c r="AU11" s="311">
        <v>2.286</v>
      </c>
      <c r="AV11" s="311">
        <v>13.942</v>
      </c>
      <c r="AW11" s="310">
        <f>(AV11*AU11*AT11)/1728</f>
        <v>0.15965216566666668</v>
      </c>
      <c r="AX11" s="311">
        <v>0.35</v>
      </c>
      <c r="AY11" s="311">
        <v>14.5</v>
      </c>
      <c r="AZ11" s="311">
        <v>9.25</v>
      </c>
      <c r="BA11" s="311">
        <v>7.5</v>
      </c>
      <c r="BB11" s="310">
        <f t="shared" si="1"/>
        <v>0.58213975694444442</v>
      </c>
      <c r="BC11" s="311">
        <f>AX11*BE11</f>
        <v>1.0499999999999998</v>
      </c>
      <c r="BD11" s="267" t="s">
        <v>68</v>
      </c>
      <c r="BE11" s="194">
        <v>3</v>
      </c>
      <c r="BF11" s="194">
        <v>13</v>
      </c>
      <c r="BG11" s="194">
        <v>5</v>
      </c>
      <c r="BH11" s="194">
        <f t="shared" si="2"/>
        <v>195</v>
      </c>
      <c r="BI11" s="194">
        <f t="shared" si="3"/>
        <v>118.25</v>
      </c>
      <c r="BJ11" s="268" t="s">
        <v>240</v>
      </c>
      <c r="BK11" s="194" t="s">
        <v>107</v>
      </c>
      <c r="BL11" s="38"/>
      <c r="BM11" s="38"/>
      <c r="BN11" s="38"/>
    </row>
    <row r="12" spans="1:66">
      <c r="A12" s="244"/>
      <c r="B12" s="261" t="s">
        <v>1403</v>
      </c>
      <c r="C12" s="261" t="s">
        <v>582</v>
      </c>
      <c r="D12" s="261" t="s">
        <v>1367</v>
      </c>
      <c r="E12" s="246" t="s">
        <v>85</v>
      </c>
      <c r="F12" s="246" t="s">
        <v>1404</v>
      </c>
      <c r="G12" s="209" t="s">
        <v>282</v>
      </c>
      <c r="H12" s="209">
        <v>92234714</v>
      </c>
      <c r="I12" s="209" t="s">
        <v>1007</v>
      </c>
      <c r="J12" s="209" t="s">
        <v>1288</v>
      </c>
      <c r="K12" s="295"/>
      <c r="L12" s="316"/>
      <c r="M12" s="197"/>
      <c r="N12" s="197"/>
      <c r="O12" s="197"/>
      <c r="P12" s="197"/>
      <c r="Q12" s="197"/>
      <c r="R12" s="197"/>
      <c r="S12" s="197"/>
      <c r="T12" s="197"/>
      <c r="U12" s="217"/>
      <c r="V12" s="217"/>
      <c r="W12" s="317"/>
      <c r="X12" s="217"/>
      <c r="Y12" s="256"/>
      <c r="Z12" s="217"/>
      <c r="AA12" s="256"/>
      <c r="AB12" s="250" t="s">
        <v>1289</v>
      </c>
      <c r="AC12" s="209"/>
      <c r="AD12" s="209"/>
      <c r="AE12" s="215"/>
      <c r="AF12" s="215"/>
      <c r="AG12" s="209"/>
      <c r="AH12" s="209" t="s">
        <v>1233</v>
      </c>
      <c r="AI12" s="215"/>
      <c r="AJ12" s="174"/>
      <c r="AK12" s="251" t="s">
        <v>1291</v>
      </c>
      <c r="AL12" s="251" t="s">
        <v>1233</v>
      </c>
      <c r="AM12" s="251" t="s">
        <v>1291</v>
      </c>
      <c r="AN12" s="251" t="s">
        <v>1292</v>
      </c>
      <c r="AO12" s="215">
        <v>24014</v>
      </c>
      <c r="AP12" s="258">
        <v>22.46</v>
      </c>
      <c r="AQ12" s="175">
        <f t="shared" si="0"/>
        <v>50.585585585585584</v>
      </c>
      <c r="AR12" s="266" t="s">
        <v>1405</v>
      </c>
      <c r="AS12" s="266" t="s">
        <v>1406</v>
      </c>
      <c r="AT12" s="241" t="s">
        <v>720</v>
      </c>
      <c r="AU12" s="241"/>
      <c r="AV12" s="241"/>
      <c r="AW12" s="241"/>
      <c r="AX12" s="241"/>
      <c r="AY12" s="311">
        <v>11.38</v>
      </c>
      <c r="AZ12" s="311">
        <v>10.5</v>
      </c>
      <c r="BA12" s="311">
        <v>6.13</v>
      </c>
      <c r="BB12" s="310">
        <f t="shared" si="1"/>
        <v>0.42388524305555558</v>
      </c>
      <c r="BC12" s="311">
        <f>0.72*BE12+0.25</f>
        <v>4.57</v>
      </c>
      <c r="BD12" s="267" t="s">
        <v>68</v>
      </c>
      <c r="BE12" s="194">
        <v>6</v>
      </c>
      <c r="BF12" s="194">
        <v>12</v>
      </c>
      <c r="BG12" s="194">
        <v>6</v>
      </c>
      <c r="BH12" s="194">
        <f t="shared" si="2"/>
        <v>432</v>
      </c>
      <c r="BI12" s="194">
        <f t="shared" si="3"/>
        <v>379.04</v>
      </c>
      <c r="BJ12" s="268" t="s">
        <v>240</v>
      </c>
      <c r="BK12" s="194" t="s">
        <v>107</v>
      </c>
      <c r="BL12" s="38"/>
      <c r="BM12" s="38"/>
      <c r="BN12" s="38"/>
    </row>
    <row r="13" spans="1:66">
      <c r="A13" s="244"/>
      <c r="B13" s="261" t="s">
        <v>1407</v>
      </c>
      <c r="C13" s="261" t="s">
        <v>582</v>
      </c>
      <c r="D13" s="261" t="s">
        <v>1393</v>
      </c>
      <c r="E13" s="246" t="s">
        <v>85</v>
      </c>
      <c r="F13" s="246" t="s">
        <v>1408</v>
      </c>
      <c r="G13" s="209" t="s">
        <v>282</v>
      </c>
      <c r="H13" s="209">
        <v>20862288</v>
      </c>
      <c r="I13" s="209" t="s">
        <v>1007</v>
      </c>
      <c r="J13" s="209" t="s">
        <v>1409</v>
      </c>
      <c r="K13" s="295"/>
      <c r="L13" s="316"/>
      <c r="M13" s="197"/>
      <c r="N13" s="197"/>
      <c r="O13" s="197"/>
      <c r="P13" s="197"/>
      <c r="Q13" s="197"/>
      <c r="R13" s="197"/>
      <c r="S13" s="197"/>
      <c r="T13" s="197"/>
      <c r="U13" s="217" t="s">
        <v>1410</v>
      </c>
      <c r="V13" s="217"/>
      <c r="W13" s="317"/>
      <c r="X13" s="217"/>
      <c r="Y13" s="256"/>
      <c r="Z13" s="217"/>
      <c r="AA13" s="256"/>
      <c r="AB13" s="250" t="s">
        <v>1411</v>
      </c>
      <c r="AC13" s="209"/>
      <c r="AD13" s="209"/>
      <c r="AE13" s="209" t="s">
        <v>1412</v>
      </c>
      <c r="AF13" s="215"/>
      <c r="AG13" s="209"/>
      <c r="AH13" s="215"/>
      <c r="AI13" s="215"/>
      <c r="AJ13" s="174"/>
      <c r="AK13" s="251" t="s">
        <v>1413</v>
      </c>
      <c r="AL13" s="251" t="s">
        <v>1414</v>
      </c>
      <c r="AM13" s="251" t="s">
        <v>1415</v>
      </c>
      <c r="AN13" s="251" t="s">
        <v>1416</v>
      </c>
      <c r="AO13" s="215">
        <v>49288</v>
      </c>
      <c r="AP13" s="258">
        <v>31.29</v>
      </c>
      <c r="AQ13" s="175">
        <f t="shared" si="0"/>
        <v>70.472972972972968</v>
      </c>
      <c r="AR13" s="266" t="s">
        <v>1417</v>
      </c>
      <c r="AS13" s="266" t="s">
        <v>1418</v>
      </c>
      <c r="AT13" s="311">
        <v>7.7859999999999996</v>
      </c>
      <c r="AU13" s="311">
        <v>2.536</v>
      </c>
      <c r="AV13" s="311">
        <v>12.821999999999999</v>
      </c>
      <c r="AW13" s="310">
        <f>(AV13*AU13*AT13)/1728</f>
        <v>0.14651283872222221</v>
      </c>
      <c r="AX13" s="311">
        <v>0.56999999999999995</v>
      </c>
      <c r="AY13" s="311">
        <v>13.5</v>
      </c>
      <c r="AZ13" s="311">
        <v>8.25</v>
      </c>
      <c r="BA13" s="311">
        <v>8.5</v>
      </c>
      <c r="BB13" s="310">
        <f t="shared" si="1"/>
        <v>0.5478515625</v>
      </c>
      <c r="BC13" s="311">
        <f>AX13*BE13+0.25</f>
        <v>1.96</v>
      </c>
      <c r="BD13" s="267" t="s">
        <v>68</v>
      </c>
      <c r="BE13" s="194">
        <v>3</v>
      </c>
      <c r="BF13" s="194">
        <v>14</v>
      </c>
      <c r="BG13" s="194">
        <v>5</v>
      </c>
      <c r="BH13" s="194">
        <f t="shared" si="2"/>
        <v>210</v>
      </c>
      <c r="BI13" s="194">
        <f t="shared" si="3"/>
        <v>187.2</v>
      </c>
      <c r="BJ13" s="268" t="s">
        <v>65</v>
      </c>
      <c r="BK13" s="194" t="s">
        <v>107</v>
      </c>
      <c r="BL13" s="38"/>
      <c r="BM13" s="38"/>
      <c r="BN13" s="38"/>
    </row>
    <row r="14" spans="1:66">
      <c r="A14" s="244"/>
      <c r="B14" s="261" t="s">
        <v>1419</v>
      </c>
      <c r="C14" s="209" t="s">
        <v>659</v>
      </c>
      <c r="D14" s="261" t="s">
        <v>1393</v>
      </c>
      <c r="E14" s="246" t="s">
        <v>85</v>
      </c>
      <c r="F14" s="246" t="s">
        <v>1420</v>
      </c>
      <c r="G14" s="152" t="s">
        <v>283</v>
      </c>
      <c r="H14" s="209">
        <v>8970687830</v>
      </c>
      <c r="I14" s="209"/>
      <c r="J14" s="209"/>
      <c r="K14" s="295"/>
      <c r="L14" s="316"/>
      <c r="M14" s="197"/>
      <c r="N14" s="197"/>
      <c r="O14" s="197"/>
      <c r="P14" s="197"/>
      <c r="Q14" s="197"/>
      <c r="R14" s="197"/>
      <c r="S14" s="197"/>
      <c r="T14" s="197"/>
      <c r="U14" s="217"/>
      <c r="V14" s="217"/>
      <c r="W14" s="317">
        <v>83211</v>
      </c>
      <c r="X14" s="217"/>
      <c r="Y14" s="256"/>
      <c r="Z14" s="217"/>
      <c r="AA14" s="256"/>
      <c r="AB14" s="250" t="s">
        <v>1421</v>
      </c>
      <c r="AC14" s="209"/>
      <c r="AD14" s="209"/>
      <c r="AE14" s="209" t="s">
        <v>1422</v>
      </c>
      <c r="AF14" s="215"/>
      <c r="AG14" s="209"/>
      <c r="AH14" s="215"/>
      <c r="AI14" s="215"/>
      <c r="AJ14" s="174">
        <v>9211</v>
      </c>
      <c r="AK14" s="251" t="s">
        <v>1423</v>
      </c>
      <c r="AL14" s="245"/>
      <c r="AM14" s="251" t="s">
        <v>1424</v>
      </c>
      <c r="AN14" s="251" t="s">
        <v>1425</v>
      </c>
      <c r="AO14" s="215">
        <v>49211</v>
      </c>
      <c r="AP14" s="258">
        <v>19.98</v>
      </c>
      <c r="AQ14" s="175">
        <f t="shared" si="0"/>
        <v>45</v>
      </c>
      <c r="AR14" s="266" t="s">
        <v>1426</v>
      </c>
      <c r="AS14" s="266" t="s">
        <v>1427</v>
      </c>
      <c r="AT14" s="307">
        <v>10.036</v>
      </c>
      <c r="AU14" s="308">
        <v>2.536</v>
      </c>
      <c r="AV14" s="308">
        <v>12.571999999999999</v>
      </c>
      <c r="AW14" s="288">
        <f>(AV14*AU14*AT14)/1728</f>
        <v>0.18516996140740738</v>
      </c>
      <c r="AX14" s="309">
        <v>0.88</v>
      </c>
      <c r="AY14" s="311">
        <v>13.25</v>
      </c>
      <c r="AZ14" s="311">
        <v>11</v>
      </c>
      <c r="BA14" s="311">
        <v>9</v>
      </c>
      <c r="BB14" s="310">
        <f t="shared" si="1"/>
        <v>0.75911458333333337</v>
      </c>
      <c r="BC14" s="311">
        <f>AX14*BE14+0.25</f>
        <v>2.89</v>
      </c>
      <c r="BD14" s="267" t="s">
        <v>68</v>
      </c>
      <c r="BE14" s="194">
        <v>3</v>
      </c>
      <c r="BF14" s="194">
        <v>12</v>
      </c>
      <c r="BG14" s="194">
        <v>4</v>
      </c>
      <c r="BH14" s="194">
        <f t="shared" si="2"/>
        <v>144</v>
      </c>
      <c r="BI14" s="194">
        <f t="shared" si="3"/>
        <v>188.72</v>
      </c>
      <c r="BJ14" s="194" t="s">
        <v>240</v>
      </c>
      <c r="BK14" s="194" t="s">
        <v>107</v>
      </c>
      <c r="BL14" s="38"/>
      <c r="BM14" s="38"/>
      <c r="BN14" s="38"/>
    </row>
    <row r="15" spans="1:66">
      <c r="A15" s="244"/>
      <c r="B15" s="261" t="s">
        <v>1428</v>
      </c>
      <c r="C15" s="209" t="s">
        <v>659</v>
      </c>
      <c r="D15" s="261" t="s">
        <v>1393</v>
      </c>
      <c r="E15" s="246" t="s">
        <v>85</v>
      </c>
      <c r="F15" s="246" t="s">
        <v>1429</v>
      </c>
      <c r="G15" s="209" t="s">
        <v>1430</v>
      </c>
      <c r="H15" s="209" t="s">
        <v>1431</v>
      </c>
      <c r="I15" s="209"/>
      <c r="J15" s="209"/>
      <c r="K15" s="182"/>
      <c r="L15" s="184"/>
      <c r="M15" s="197"/>
      <c r="N15" s="197"/>
      <c r="O15" s="197"/>
      <c r="P15" s="197"/>
      <c r="Q15" s="197"/>
      <c r="R15" s="197"/>
      <c r="S15" s="197"/>
      <c r="T15" s="197"/>
      <c r="U15" s="217"/>
      <c r="V15" s="217"/>
      <c r="W15" s="181">
        <v>83048</v>
      </c>
      <c r="X15" s="217"/>
      <c r="Y15" s="219"/>
      <c r="Z15" s="217"/>
      <c r="AA15" s="219"/>
      <c r="AB15" s="250" t="s">
        <v>1432</v>
      </c>
      <c r="AC15" s="209" t="s">
        <v>1433</v>
      </c>
      <c r="AD15" s="209"/>
      <c r="AE15" s="209" t="s">
        <v>1434</v>
      </c>
      <c r="AF15" s="215"/>
      <c r="AG15" s="209"/>
      <c r="AH15" s="215"/>
      <c r="AI15" s="215"/>
      <c r="AJ15" s="174">
        <v>9048</v>
      </c>
      <c r="AK15" s="251" t="s">
        <v>1435</v>
      </c>
      <c r="AL15" s="245"/>
      <c r="AM15" s="251" t="s">
        <v>1436</v>
      </c>
      <c r="AN15" s="251" t="s">
        <v>1437</v>
      </c>
      <c r="AO15" s="215">
        <v>49048</v>
      </c>
      <c r="AP15" s="258">
        <v>19.78</v>
      </c>
      <c r="AQ15" s="175">
        <f t="shared" si="0"/>
        <v>44.549549549549553</v>
      </c>
      <c r="AR15" s="266" t="s">
        <v>1438</v>
      </c>
      <c r="AS15" s="266" t="s">
        <v>1439</v>
      </c>
      <c r="AT15" s="311">
        <v>7.0359999999999996</v>
      </c>
      <c r="AU15" s="311">
        <v>2.6560000000000001</v>
      </c>
      <c r="AV15" s="311">
        <v>15.321999999999999</v>
      </c>
      <c r="AW15" s="310">
        <f>(AV15*AU15*AT15)/1728</f>
        <v>0.16570118770370368</v>
      </c>
      <c r="AX15" s="311">
        <v>0.45</v>
      </c>
      <c r="AY15" s="311">
        <v>15.75</v>
      </c>
      <c r="AZ15" s="311">
        <v>7.5</v>
      </c>
      <c r="BA15" s="311">
        <v>8.8800000000000008</v>
      </c>
      <c r="BB15" s="310">
        <f t="shared" si="1"/>
        <v>0.60703125000000002</v>
      </c>
      <c r="BC15" s="311">
        <f>AX15*BE15+0.25</f>
        <v>1.6</v>
      </c>
      <c r="BD15" s="264" t="s">
        <v>68</v>
      </c>
      <c r="BE15" s="194">
        <v>3</v>
      </c>
      <c r="BF15" s="194">
        <v>15</v>
      </c>
      <c r="BG15" s="194">
        <v>5</v>
      </c>
      <c r="BH15" s="194">
        <f t="shared" si="2"/>
        <v>225</v>
      </c>
      <c r="BI15" s="194">
        <f t="shared" si="3"/>
        <v>170</v>
      </c>
      <c r="BJ15" s="194" t="s">
        <v>65</v>
      </c>
      <c r="BK15" s="194" t="s">
        <v>107</v>
      </c>
      <c r="BL15" s="38"/>
      <c r="BM15" s="38"/>
      <c r="BN15" s="38"/>
    </row>
    <row r="16" spans="1:66">
      <c r="A16" s="244"/>
      <c r="B16" s="320"/>
      <c r="C16" s="80"/>
      <c r="D16" s="320"/>
      <c r="E16" s="321"/>
      <c r="F16" s="321"/>
      <c r="G16" s="86"/>
      <c r="H16" s="86"/>
      <c r="I16" s="86"/>
      <c r="J16" s="86"/>
      <c r="K16" s="225"/>
      <c r="L16" s="227"/>
      <c r="M16" s="31"/>
      <c r="N16" s="31"/>
      <c r="O16" s="31"/>
      <c r="P16" s="31"/>
      <c r="Q16" s="31"/>
      <c r="R16" s="31"/>
      <c r="S16" s="31"/>
      <c r="T16" s="31"/>
      <c r="U16" s="228"/>
      <c r="V16" s="228"/>
      <c r="W16" s="229"/>
      <c r="X16" s="228"/>
      <c r="Y16" s="270"/>
      <c r="Z16" s="228"/>
      <c r="AA16" s="270"/>
      <c r="AB16" s="82"/>
      <c r="AC16" s="86"/>
      <c r="AD16" s="86"/>
      <c r="AE16" s="80"/>
      <c r="AF16" s="80"/>
      <c r="AG16" s="86"/>
      <c r="AH16" s="80"/>
      <c r="AI16" s="80"/>
      <c r="AJ16" s="146"/>
      <c r="AK16" s="322"/>
      <c r="AL16" s="323"/>
      <c r="AM16" s="322"/>
      <c r="AN16" s="322"/>
      <c r="AO16" s="80"/>
      <c r="AP16" s="324"/>
      <c r="AQ16" s="231"/>
      <c r="AR16" s="126"/>
      <c r="AS16" s="126"/>
      <c r="AT16" s="134"/>
      <c r="AU16" s="134"/>
      <c r="AV16" s="134"/>
      <c r="AW16" s="235"/>
      <c r="AX16" s="134"/>
      <c r="AY16" s="134"/>
      <c r="AZ16" s="134"/>
      <c r="BA16" s="134"/>
      <c r="BB16" s="235"/>
      <c r="BC16" s="134"/>
      <c r="BD16" s="325"/>
      <c r="BE16" s="236"/>
      <c r="BF16" s="236"/>
      <c r="BG16" s="236"/>
      <c r="BH16" s="236"/>
      <c r="BI16" s="236"/>
      <c r="BJ16" s="236"/>
      <c r="BK16" s="236"/>
      <c r="BL16" s="38"/>
      <c r="BM16" s="38"/>
      <c r="BN16" s="38"/>
    </row>
    <row r="17" spans="2:66" s="146" customFormat="1">
      <c r="B17" s="142"/>
      <c r="C17" s="142"/>
      <c r="D17" s="142"/>
      <c r="E17" s="11"/>
      <c r="F17" s="142"/>
      <c r="G17" s="142"/>
      <c r="H17" s="89"/>
      <c r="I17" s="11"/>
      <c r="J17" s="11"/>
      <c r="K17" s="11"/>
      <c r="U17" s="11"/>
      <c r="AA17" s="11"/>
      <c r="AB17" s="11"/>
      <c r="AP17" s="143"/>
      <c r="AQ17" s="144"/>
      <c r="AR17" s="11"/>
      <c r="AT17" s="86"/>
      <c r="AU17" s="86"/>
      <c r="AV17" s="86"/>
      <c r="AW17" s="11"/>
      <c r="AX17" s="86"/>
      <c r="AY17" s="86"/>
      <c r="AZ17" s="86"/>
      <c r="BA17" s="86"/>
      <c r="BB17" s="11"/>
      <c r="BC17" s="86"/>
      <c r="BD17" s="11"/>
      <c r="BE17" s="11"/>
      <c r="BJ17" s="11"/>
      <c r="BK17" s="89"/>
    </row>
    <row r="18" spans="2:66" ht="7.5" customHeight="1">
      <c r="B18" s="160"/>
      <c r="C18" s="160"/>
      <c r="D18" s="160"/>
      <c r="E18" s="161"/>
      <c r="F18" s="160"/>
      <c r="G18" s="160"/>
      <c r="H18" s="160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1"/>
      <c r="V18" s="162"/>
      <c r="W18" s="162"/>
      <c r="X18" s="162"/>
      <c r="Y18" s="162"/>
      <c r="Z18" s="162"/>
      <c r="AA18" s="161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3"/>
      <c r="AQ18" s="164"/>
      <c r="AR18" s="161"/>
      <c r="AS18" s="162"/>
      <c r="AT18" s="165"/>
      <c r="AU18" s="165"/>
      <c r="AV18" s="165"/>
      <c r="AW18" s="161"/>
      <c r="AX18" s="165"/>
      <c r="AY18" s="165"/>
      <c r="AZ18" s="165"/>
      <c r="BA18" s="165"/>
      <c r="BB18" s="161"/>
      <c r="BC18" s="165"/>
      <c r="BD18" s="161"/>
      <c r="BE18" s="161"/>
      <c r="BF18" s="162"/>
      <c r="BG18" s="162"/>
      <c r="BH18" s="162"/>
      <c r="BI18" s="162"/>
      <c r="BJ18" s="161"/>
      <c r="BK18" s="166"/>
      <c r="BL18" s="162"/>
      <c r="BM18" s="146"/>
      <c r="BN18" s="146"/>
    </row>
    <row r="19" spans="2:66" ht="7.5" customHeight="1">
      <c r="B19" s="142"/>
      <c r="C19" s="142"/>
      <c r="D19" s="142"/>
      <c r="F19" s="142"/>
      <c r="G19" s="142"/>
      <c r="H19" s="142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V19" s="146"/>
      <c r="W19" s="146"/>
      <c r="X19" s="146"/>
      <c r="Y19" s="146"/>
      <c r="Z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3"/>
      <c r="AQ19" s="144"/>
      <c r="AS19" s="146"/>
      <c r="AT19" s="86"/>
      <c r="AU19" s="86"/>
      <c r="AV19" s="86"/>
      <c r="AX19" s="86"/>
      <c r="AY19" s="86"/>
      <c r="AZ19" s="86"/>
      <c r="BA19" s="86"/>
      <c r="BC19" s="86"/>
      <c r="BF19" s="146"/>
      <c r="BG19" s="146"/>
      <c r="BH19" s="146"/>
      <c r="BI19" s="146"/>
      <c r="BK19" s="89"/>
      <c r="BL19" s="146"/>
      <c r="BM19" s="146"/>
      <c r="BN19" s="146"/>
    </row>
    <row r="20" spans="2:66" ht="23.25">
      <c r="B20" s="142"/>
      <c r="C20" s="142"/>
      <c r="D20" s="142"/>
      <c r="F20" s="159" t="s">
        <v>542</v>
      </c>
      <c r="H20" s="142"/>
      <c r="V20" s="146"/>
      <c r="W20" s="146"/>
      <c r="X20" s="146"/>
      <c r="Z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3"/>
      <c r="AQ20" s="144"/>
      <c r="AS20" s="146"/>
      <c r="AT20" s="86"/>
      <c r="AU20" s="86"/>
      <c r="AV20" s="86"/>
      <c r="AX20" s="86"/>
      <c r="AY20" s="86"/>
      <c r="AZ20" s="86"/>
      <c r="BA20" s="86"/>
      <c r="BC20" s="86"/>
      <c r="BF20" s="146"/>
      <c r="BG20" s="146"/>
      <c r="BH20" s="146"/>
      <c r="BI20" s="146"/>
      <c r="BK20" s="89"/>
      <c r="BL20" s="146"/>
      <c r="BM20" s="146"/>
      <c r="BN20" s="146"/>
    </row>
    <row r="21" spans="2:66" s="146" customFormat="1">
      <c r="B21" s="142"/>
      <c r="C21" s="142"/>
      <c r="D21" s="142"/>
      <c r="E21" s="11"/>
      <c r="F21" s="142"/>
      <c r="G21" s="142"/>
      <c r="H21" s="14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43"/>
      <c r="AQ21" s="144"/>
      <c r="AR21" s="11"/>
      <c r="AS21" s="11"/>
      <c r="AT21" s="86"/>
      <c r="AU21" s="86"/>
      <c r="AV21" s="86"/>
      <c r="AW21" s="11"/>
      <c r="AX21" s="86"/>
      <c r="AY21" s="86"/>
      <c r="AZ21" s="86"/>
      <c r="BA21" s="86"/>
      <c r="BB21" s="11"/>
      <c r="BC21" s="86"/>
      <c r="BD21" s="11"/>
      <c r="BE21" s="11"/>
      <c r="BF21" s="11"/>
      <c r="BG21" s="11"/>
      <c r="BJ21" s="11"/>
      <c r="BK21" s="89"/>
      <c r="BL21" s="11"/>
      <c r="BM21" s="11"/>
      <c r="BN21" s="11"/>
    </row>
    <row r="22" spans="2:66">
      <c r="B22" s="142"/>
      <c r="C22" s="142"/>
      <c r="D22" s="142"/>
      <c r="F22" s="30" t="s">
        <v>543</v>
      </c>
      <c r="G22" s="32" t="s">
        <v>1306</v>
      </c>
      <c r="H22" s="32" t="s">
        <v>544</v>
      </c>
      <c r="AP22" s="143"/>
      <c r="AQ22" s="144"/>
      <c r="AT22" s="86"/>
      <c r="AU22" s="86"/>
      <c r="AV22" s="86"/>
      <c r="AX22" s="86"/>
      <c r="AY22" s="86"/>
      <c r="AZ22" s="86"/>
      <c r="BA22" s="86"/>
      <c r="BC22" s="86"/>
      <c r="BH22" s="146"/>
      <c r="BI22" s="146"/>
      <c r="BK22" s="89"/>
    </row>
    <row r="23" spans="2:66">
      <c r="B23" s="151" t="s">
        <v>632</v>
      </c>
      <c r="C23" s="151" t="s">
        <v>582</v>
      </c>
      <c r="D23" s="207" t="s">
        <v>631</v>
      </c>
      <c r="E23" s="312" t="s">
        <v>304</v>
      </c>
      <c r="F23" s="269">
        <v>41761</v>
      </c>
      <c r="G23" s="258">
        <v>12.9</v>
      </c>
      <c r="H23" s="258">
        <v>6.75</v>
      </c>
      <c r="AP23" s="143"/>
      <c r="AQ23" s="144"/>
      <c r="AT23" s="86"/>
      <c r="AU23" s="86"/>
      <c r="AV23" s="86"/>
      <c r="AX23" s="86"/>
      <c r="AY23" s="86"/>
      <c r="AZ23" s="86"/>
      <c r="BA23" s="86"/>
      <c r="BC23" s="86"/>
      <c r="BH23" s="146"/>
      <c r="BI23" s="146"/>
      <c r="BK23" s="89"/>
    </row>
    <row r="24" spans="2:66">
      <c r="B24" s="151" t="s">
        <v>1440</v>
      </c>
      <c r="C24" s="151" t="s">
        <v>541</v>
      </c>
      <c r="D24" s="207" t="s">
        <v>592</v>
      </c>
      <c r="E24" s="216" t="s">
        <v>591</v>
      </c>
      <c r="F24" s="269">
        <v>41744</v>
      </c>
      <c r="G24" s="258">
        <v>99.96</v>
      </c>
      <c r="H24" s="258">
        <v>71.47</v>
      </c>
      <c r="AP24" s="143"/>
      <c r="AQ24" s="144"/>
      <c r="AT24" s="86"/>
      <c r="AU24" s="86"/>
      <c r="AV24" s="86"/>
      <c r="AX24" s="86"/>
      <c r="AY24" s="86"/>
      <c r="AZ24" s="86"/>
      <c r="BA24" s="86"/>
      <c r="BC24" s="86"/>
      <c r="BH24" s="146"/>
      <c r="BI24" s="146"/>
      <c r="BK24" s="89"/>
    </row>
    <row r="25" spans="2:66">
      <c r="B25" s="151" t="s">
        <v>1441</v>
      </c>
      <c r="C25" s="151" t="s">
        <v>541</v>
      </c>
      <c r="D25" s="151" t="s">
        <v>63</v>
      </c>
      <c r="E25" s="152" t="s">
        <v>85</v>
      </c>
      <c r="F25" s="269">
        <v>41744</v>
      </c>
      <c r="G25" s="258">
        <v>123.04</v>
      </c>
      <c r="H25" s="258">
        <v>95.87</v>
      </c>
      <c r="AP25" s="143"/>
      <c r="AQ25" s="144"/>
      <c r="AT25" s="86"/>
      <c r="AU25" s="86"/>
      <c r="AV25" s="86"/>
      <c r="AX25" s="86"/>
      <c r="AY25" s="86"/>
      <c r="AZ25" s="86"/>
      <c r="BA25" s="86"/>
      <c r="BC25" s="86"/>
      <c r="BH25" s="146"/>
      <c r="BI25" s="146"/>
      <c r="BK25" s="89"/>
    </row>
    <row r="26" spans="2:66">
      <c r="B26" s="151" t="s">
        <v>1442</v>
      </c>
      <c r="C26" s="151" t="s">
        <v>541</v>
      </c>
      <c r="D26" s="151" t="s">
        <v>597</v>
      </c>
      <c r="E26" s="152" t="s">
        <v>172</v>
      </c>
      <c r="F26" s="269">
        <v>41744</v>
      </c>
      <c r="G26" s="258">
        <v>135</v>
      </c>
      <c r="H26" s="258">
        <v>109.12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V26" s="146"/>
      <c r="W26" s="146"/>
      <c r="X26" s="146"/>
      <c r="Y26" s="146"/>
      <c r="Z26" s="146"/>
      <c r="AE26" s="146"/>
      <c r="AF26" s="146"/>
      <c r="AG26" s="146"/>
      <c r="AH26" s="146"/>
      <c r="AI26" s="146"/>
      <c r="AJ26" s="146"/>
      <c r="AM26" s="146"/>
      <c r="AN26" s="146"/>
      <c r="AO26" s="146"/>
      <c r="AP26" s="143"/>
      <c r="AQ26" s="144"/>
      <c r="AS26" s="146"/>
      <c r="AT26" s="86"/>
      <c r="AU26" s="86"/>
      <c r="AV26" s="86"/>
      <c r="AX26" s="86"/>
      <c r="AY26" s="86"/>
      <c r="AZ26" s="86"/>
      <c r="BA26" s="86"/>
      <c r="BC26" s="86"/>
      <c r="BF26" s="146"/>
      <c r="BG26" s="146"/>
      <c r="BH26" s="146"/>
      <c r="BI26" s="146"/>
      <c r="BK26" s="89"/>
      <c r="BL26" s="146"/>
      <c r="BM26" s="146"/>
      <c r="BN26" s="146"/>
    </row>
    <row r="27" spans="2:66">
      <c r="B27" s="142"/>
      <c r="C27" s="142"/>
      <c r="D27" s="142"/>
      <c r="F27" s="142"/>
      <c r="G27" s="142"/>
      <c r="H27" s="142"/>
      <c r="AQ27" s="144"/>
      <c r="AR27" s="146"/>
      <c r="BI27" s="146"/>
      <c r="BK27" s="89"/>
    </row>
    <row r="28" spans="2:66" ht="7.5" customHeight="1">
      <c r="B28" s="160"/>
      <c r="C28" s="160"/>
      <c r="D28" s="160"/>
      <c r="E28" s="161"/>
      <c r="F28" s="160"/>
      <c r="G28" s="160"/>
      <c r="H28" s="16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V28" s="146"/>
      <c r="W28" s="146"/>
      <c r="X28" s="146"/>
      <c r="Y28" s="146"/>
      <c r="Z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3"/>
      <c r="AQ28" s="144"/>
      <c r="AS28" s="146"/>
      <c r="AT28" s="86"/>
      <c r="AU28" s="86"/>
      <c r="AV28" s="86"/>
      <c r="AX28" s="86"/>
      <c r="AY28" s="86"/>
      <c r="AZ28" s="86"/>
      <c r="BA28" s="86"/>
      <c r="BC28" s="86"/>
      <c r="BF28" s="146"/>
      <c r="BG28" s="146"/>
      <c r="BH28" s="146"/>
      <c r="BI28" s="146"/>
      <c r="BK28" s="89"/>
      <c r="BL28" s="146"/>
      <c r="BM28" s="146"/>
      <c r="BN28" s="146"/>
    </row>
    <row r="29" spans="2:66" ht="7.5" customHeight="1">
      <c r="B29" s="142"/>
      <c r="C29" s="142"/>
      <c r="D29" s="142"/>
      <c r="F29" s="142"/>
      <c r="G29" s="142"/>
      <c r="H29" s="142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V29" s="146"/>
      <c r="W29" s="146"/>
      <c r="X29" s="146"/>
      <c r="Y29" s="146"/>
      <c r="Z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3"/>
      <c r="AQ29" s="144"/>
      <c r="AS29" s="146"/>
      <c r="AT29" s="86"/>
      <c r="AU29" s="86"/>
      <c r="AV29" s="86"/>
      <c r="AX29" s="86"/>
      <c r="AY29" s="86"/>
      <c r="AZ29" s="86"/>
      <c r="BA29" s="86"/>
      <c r="BC29" s="86"/>
      <c r="BF29" s="146"/>
      <c r="BG29" s="146"/>
      <c r="BH29" s="146"/>
      <c r="BI29" s="146"/>
      <c r="BK29" s="89"/>
      <c r="BL29" s="146"/>
      <c r="BM29" s="146"/>
      <c r="BN29" s="146"/>
    </row>
    <row r="30" spans="2:66" ht="23.25">
      <c r="B30" s="142"/>
      <c r="C30" s="142"/>
      <c r="D30" s="142"/>
      <c r="F30" s="173" t="s">
        <v>548</v>
      </c>
      <c r="H30" s="142"/>
      <c r="AQ30" s="144"/>
      <c r="AR30" s="146"/>
      <c r="BI30" s="146"/>
      <c r="BK30" s="89"/>
    </row>
    <row r="31" spans="2:66" ht="16.5" customHeight="1">
      <c r="B31" s="142"/>
      <c r="C31" s="142"/>
      <c r="D31" s="142"/>
      <c r="F31" s="142"/>
      <c r="G31" s="158"/>
      <c r="H31" s="142"/>
      <c r="AQ31" s="144"/>
      <c r="AR31" s="146"/>
      <c r="BI31" s="146"/>
      <c r="BK31" s="89"/>
    </row>
    <row r="32" spans="2:66" s="136" customFormat="1">
      <c r="B32" s="11"/>
      <c r="C32" s="11"/>
      <c r="D32" s="11"/>
      <c r="E32" s="11"/>
      <c r="F32" s="30" t="s">
        <v>546</v>
      </c>
      <c r="G32" s="171" t="s">
        <v>547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43"/>
      <c r="AQ32" s="144"/>
      <c r="AR32" s="146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46"/>
      <c r="BJ32" s="11"/>
      <c r="BK32" s="11"/>
      <c r="BL32" s="11"/>
      <c r="BM32" s="11"/>
      <c r="BN32" s="11"/>
    </row>
    <row r="33" spans="2:66">
      <c r="B33" s="155"/>
      <c r="C33" s="152"/>
      <c r="D33" s="152"/>
      <c r="E33" s="152"/>
      <c r="F33" s="167"/>
      <c r="G33" s="172"/>
      <c r="H33" s="170"/>
      <c r="AP33" s="143"/>
      <c r="AQ33" s="144"/>
      <c r="AR33" s="146"/>
      <c r="BI33" s="146"/>
    </row>
    <row r="34" spans="2:66">
      <c r="B34" s="168"/>
      <c r="C34" s="152"/>
      <c r="D34" s="152"/>
      <c r="E34" s="152"/>
      <c r="F34" s="167"/>
      <c r="G34" s="169"/>
      <c r="H34" s="170"/>
      <c r="AP34" s="143"/>
      <c r="AQ34" s="144"/>
      <c r="AR34" s="146"/>
      <c r="BI34" s="146"/>
    </row>
    <row r="35" spans="2:66">
      <c r="B35" s="168"/>
      <c r="C35" s="152"/>
      <c r="D35" s="152"/>
      <c r="E35" s="152"/>
      <c r="F35" s="167"/>
      <c r="G35" s="169"/>
      <c r="H35" s="170"/>
      <c r="V35" s="146"/>
      <c r="W35" s="146"/>
      <c r="X35" s="146"/>
      <c r="Z35" s="146"/>
      <c r="AB35" s="146"/>
      <c r="AC35" s="146"/>
      <c r="AE35" s="146"/>
      <c r="AF35" s="146"/>
      <c r="AH35" s="146"/>
      <c r="AI35" s="146"/>
      <c r="AJ35" s="146"/>
      <c r="AK35" s="146"/>
      <c r="AL35" s="146"/>
      <c r="AM35" s="146"/>
      <c r="AN35" s="146"/>
      <c r="AO35" s="146"/>
      <c r="AP35" s="143"/>
      <c r="AQ35" s="144"/>
      <c r="AR35" s="146"/>
      <c r="AS35" s="146"/>
      <c r="AU35" s="146"/>
      <c r="AV35" s="146"/>
      <c r="AW35" s="146"/>
      <c r="AX35" s="146"/>
      <c r="AY35" s="146"/>
      <c r="AZ35" s="146"/>
      <c r="BA35" s="146"/>
      <c r="BB35" s="146"/>
      <c r="BC35" s="146"/>
      <c r="BE35" s="146"/>
      <c r="BF35" s="146"/>
      <c r="BG35" s="146"/>
      <c r="BH35" s="146"/>
      <c r="BI35" s="146"/>
      <c r="BJ35" s="146"/>
      <c r="BK35" s="89"/>
      <c r="BL35" s="146"/>
      <c r="BM35" s="146"/>
      <c r="BN35" s="146"/>
    </row>
    <row r="36" spans="2:66" s="136" customFormat="1">
      <c r="B36" s="155"/>
      <c r="C36" s="152"/>
      <c r="D36" s="152"/>
      <c r="E36" s="152"/>
      <c r="F36" s="167"/>
      <c r="G36" s="172"/>
      <c r="H36" s="17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2:66" s="136" customFormat="1">
      <c r="B37" s="155"/>
      <c r="C37" s="151"/>
      <c r="D37" s="152"/>
      <c r="E37" s="152"/>
      <c r="F37" s="167"/>
      <c r="G37" s="172"/>
      <c r="H37" s="17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2:66" s="136" customFormat="1">
      <c r="B38" s="155"/>
      <c r="C38" s="152"/>
      <c r="D38" s="152"/>
      <c r="E38" s="152"/>
      <c r="F38" s="167"/>
      <c r="G38" s="172"/>
      <c r="H38" s="17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2:66" s="136" customFormat="1">
      <c r="B39" s="155"/>
      <c r="C39" s="152"/>
      <c r="D39" s="152"/>
      <c r="E39" s="152"/>
      <c r="F39" s="167"/>
      <c r="G39" s="172"/>
      <c r="H39" s="17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2:66" s="136" customFormat="1">
      <c r="B40" s="168"/>
      <c r="C40" s="152"/>
      <c r="D40" s="152"/>
      <c r="E40" s="152"/>
      <c r="F40" s="167"/>
      <c r="G40" s="169"/>
      <c r="H40" s="17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2:66" s="136" customFormat="1">
      <c r="B41" s="168"/>
      <c r="C41" s="152"/>
      <c r="D41" s="152"/>
      <c r="E41" s="152"/>
      <c r="F41" s="167"/>
      <c r="G41" s="169"/>
      <c r="H41" s="17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2:66" s="136" customFormat="1">
      <c r="B42" s="168"/>
      <c r="C42" s="152"/>
      <c r="D42" s="152"/>
      <c r="E42" s="152"/>
      <c r="F42" s="167"/>
      <c r="G42" s="169"/>
      <c r="H42" s="17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2:66" s="136" customFormat="1">
      <c r="B43" s="168"/>
      <c r="C43" s="152"/>
      <c r="D43" s="152"/>
      <c r="E43" s="152"/>
      <c r="F43" s="167"/>
      <c r="G43" s="169"/>
      <c r="H43" s="17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2:66" s="136" customFormat="1">
      <c r="B44" s="155"/>
      <c r="C44" s="152"/>
      <c r="D44" s="152"/>
      <c r="E44" s="152"/>
      <c r="F44" s="167"/>
      <c r="G44" s="172"/>
      <c r="H44" s="17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2:66" s="136" customFormat="1">
      <c r="B45" s="155"/>
      <c r="C45" s="152"/>
      <c r="D45" s="152"/>
      <c r="E45" s="152"/>
      <c r="F45" s="167"/>
      <c r="G45" s="172"/>
      <c r="H45" s="17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2:66" s="136" customFormat="1">
      <c r="B46" s="155"/>
      <c r="C46" s="152"/>
      <c r="D46" s="152"/>
      <c r="E46" s="152"/>
      <c r="F46" s="167"/>
      <c r="G46" s="172"/>
      <c r="H46" s="17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2:66" s="136" customFormat="1">
      <c r="B47" s="155"/>
      <c r="C47" s="152"/>
      <c r="D47" s="152"/>
      <c r="E47" s="152"/>
      <c r="F47" s="167"/>
      <c r="G47" s="172"/>
      <c r="H47" s="17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2:66" s="136" customFormat="1">
      <c r="B48" s="168"/>
      <c r="C48" s="152"/>
      <c r="D48" s="152"/>
      <c r="E48" s="152"/>
      <c r="F48" s="167"/>
      <c r="G48" s="169"/>
      <c r="H48" s="17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2:66" s="136" customFormat="1">
      <c r="B49" s="168"/>
      <c r="C49" s="152"/>
      <c r="D49" s="152"/>
      <c r="E49" s="152"/>
      <c r="F49" s="167"/>
      <c r="G49" s="169"/>
      <c r="H49" s="17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2:66" s="136" customFormat="1">
      <c r="B50" s="155"/>
      <c r="C50" s="151"/>
      <c r="D50" s="152"/>
      <c r="E50" s="152"/>
      <c r="F50" s="167"/>
      <c r="G50" s="172"/>
      <c r="H50" s="17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2:66" s="136" customFormat="1">
      <c r="B51" s="155"/>
      <c r="C51" s="151"/>
      <c r="D51" s="152"/>
      <c r="E51" s="152"/>
      <c r="F51" s="167"/>
      <c r="G51" s="172"/>
      <c r="H51" s="17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2:66" s="136" customFormat="1">
      <c r="B52" s="146"/>
      <c r="C52" s="146"/>
      <c r="D52" s="11"/>
      <c r="E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2:66" s="136" customFormat="1">
      <c r="B53" s="146"/>
      <c r="C53" s="146"/>
      <c r="D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2:66" s="136" customFormat="1">
      <c r="B54" s="146"/>
      <c r="C54" s="146"/>
      <c r="D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2:66" s="136" customFormat="1">
      <c r="B55" s="146"/>
      <c r="C55" s="146"/>
      <c r="D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2:66" s="136" customFormat="1">
      <c r="B56" s="146"/>
      <c r="C56" s="146"/>
      <c r="D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2:66" s="136" customFormat="1">
      <c r="B57" s="146"/>
      <c r="C57" s="146"/>
      <c r="D57" s="11"/>
      <c r="E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2:66" s="136" customFormat="1">
      <c r="B58" s="146"/>
      <c r="C58" s="146"/>
      <c r="D58" s="11"/>
      <c r="E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2:66" s="136" customFormat="1">
      <c r="B59" s="146"/>
      <c r="C59" s="146"/>
      <c r="D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2:66" s="136" customFormat="1">
      <c r="B60" s="146"/>
      <c r="C60" s="146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2:66" s="136" customFormat="1">
      <c r="B61" s="146"/>
      <c r="C61" s="146"/>
      <c r="D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2:66" s="136" customFormat="1">
      <c r="B62" s="146"/>
      <c r="C62" s="146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2:66" s="136" customFormat="1">
      <c r="B63" s="146"/>
      <c r="C63" s="146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2:66" s="136" customFormat="1">
      <c r="B64" s="146"/>
      <c r="C64" s="146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2:66" s="136" customFormat="1">
      <c r="B65" s="146"/>
      <c r="C65" s="146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2:66" s="136" customFormat="1">
      <c r="B66" s="146"/>
      <c r="C66" s="146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2:66" s="136" customFormat="1">
      <c r="B67" s="146"/>
      <c r="C67" s="146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2:66" s="136" customFormat="1">
      <c r="B68" s="146"/>
      <c r="C68" s="146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2:66" s="136" customFormat="1">
      <c r="B69" s="146"/>
      <c r="C69" s="146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2:66" s="136" customFormat="1">
      <c r="B70" s="146"/>
      <c r="C70" s="146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2:66" s="136" customFormat="1">
      <c r="B71" s="146"/>
      <c r="C71" s="146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2:66" s="136" customFormat="1">
      <c r="B72" s="146"/>
      <c r="C72" s="146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2:66" s="136" customFormat="1">
      <c r="B73" s="146"/>
      <c r="C73" s="146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2:66" s="136" customFormat="1">
      <c r="B74" s="146"/>
      <c r="C74" s="146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2:66" s="136" customFormat="1">
      <c r="B75" s="146"/>
      <c r="C75" s="146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2:66" s="136" customFormat="1">
      <c r="B76" s="146"/>
      <c r="C76" s="146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2:66" s="136" customFormat="1">
      <c r="B77" s="146"/>
      <c r="C77" s="146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2:66" s="136" customFormat="1">
      <c r="B78" s="146"/>
      <c r="C78" s="146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2:66" s="136" customFormat="1">
      <c r="B79" s="146"/>
      <c r="C79" s="146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2:66" s="136" customFormat="1">
      <c r="B80" s="146"/>
      <c r="C80" s="146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2:66" s="136" customFormat="1">
      <c r="B81" s="146"/>
      <c r="C81" s="146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2:66" s="136" customFormat="1">
      <c r="B82" s="146"/>
      <c r="C82" s="146"/>
      <c r="D82" s="11"/>
      <c r="E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2:66" s="136" customFormat="1">
      <c r="B83" s="146"/>
      <c r="C83" s="146"/>
      <c r="D83" s="11"/>
      <c r="E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2:66" s="136" customFormat="1">
      <c r="B84" s="146"/>
      <c r="C84" s="146"/>
      <c r="D84" s="11"/>
      <c r="E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2:66" s="136" customFormat="1">
      <c r="B85" s="146"/>
      <c r="C85" s="146"/>
      <c r="D85" s="11"/>
      <c r="E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2:66" s="136" customFormat="1">
      <c r="B86" s="146"/>
      <c r="C86" s="146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2:66" s="136" customFormat="1">
      <c r="B87" s="146"/>
      <c r="C87" s="146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2:66" s="136" customFormat="1">
      <c r="B88" s="146"/>
      <c r="C88" s="146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2:66" s="136" customFormat="1">
      <c r="B89" s="146"/>
      <c r="C89" s="146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2:66" s="136" customFormat="1">
      <c r="B90" s="146"/>
      <c r="C90" s="146"/>
      <c r="D90" s="11"/>
      <c r="E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2:66" s="136" customFormat="1">
      <c r="B91" s="146"/>
      <c r="C91" s="146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2:66" s="136" customFormat="1">
      <c r="B92" s="146"/>
      <c r="C92" s="146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2:66" s="136" customFormat="1">
      <c r="B93" s="146"/>
      <c r="C93" s="146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2:66" s="136" customFormat="1">
      <c r="B94" s="146"/>
      <c r="C94" s="146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2:66" s="136" customFormat="1">
      <c r="B95" s="146"/>
      <c r="C95" s="146"/>
      <c r="D95" s="11"/>
      <c r="E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2:66" s="136" customFormat="1">
      <c r="B96" s="146"/>
      <c r="C96" s="146"/>
      <c r="D96" s="11"/>
      <c r="E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2:66" s="136" customFormat="1">
      <c r="B97" s="146"/>
      <c r="C97" s="146"/>
      <c r="D97" s="11"/>
      <c r="E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2:66" s="136" customFormat="1">
      <c r="B98" s="146"/>
      <c r="C98" s="146"/>
      <c r="D98" s="11"/>
      <c r="E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2:66" s="136" customFormat="1">
      <c r="B99" s="146"/>
      <c r="C99" s="146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2:66" s="136" customFormat="1">
      <c r="B100" s="146"/>
      <c r="C100" s="146"/>
      <c r="D100" s="11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2:66" s="136" customFormat="1">
      <c r="B101" s="146"/>
      <c r="C101" s="146"/>
      <c r="D101" s="11"/>
      <c r="E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2:66" s="136" customFormat="1">
      <c r="B102" s="146"/>
      <c r="C102" s="146"/>
      <c r="D102" s="11"/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2:66" s="136" customFormat="1">
      <c r="B103" s="146"/>
      <c r="C103" s="146"/>
      <c r="D103" s="11"/>
      <c r="E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2:66" s="136" customFormat="1">
      <c r="B104" s="146"/>
      <c r="C104" s="146"/>
      <c r="D104" s="11"/>
      <c r="E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2:66" s="136" customFormat="1">
      <c r="B105" s="146"/>
      <c r="C105" s="146"/>
      <c r="D105" s="11"/>
      <c r="E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2:66" s="136" customFormat="1">
      <c r="B106" s="146"/>
      <c r="C106" s="146"/>
      <c r="D106" s="11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2:66" s="136" customFormat="1">
      <c r="B107" s="146"/>
      <c r="C107" s="146"/>
      <c r="D107" s="11"/>
      <c r="E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2:66" s="136" customFormat="1">
      <c r="B108" s="146"/>
      <c r="C108" s="146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2:66" s="136" customFormat="1">
      <c r="B109" s="146"/>
      <c r="C109" s="146"/>
      <c r="D109" s="11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2:66" s="136" customFormat="1">
      <c r="B110" s="146"/>
      <c r="C110" s="146"/>
      <c r="D110" s="11"/>
      <c r="E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2:66" s="136" customFormat="1">
      <c r="B111" s="146"/>
      <c r="C111" s="146"/>
      <c r="D111" s="11"/>
      <c r="E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2:66" s="136" customFormat="1">
      <c r="B112" s="146"/>
      <c r="C112" s="146"/>
      <c r="D112" s="11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2:66" s="136" customFormat="1">
      <c r="B113" s="146"/>
      <c r="C113" s="146"/>
      <c r="D113" s="11"/>
      <c r="E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2:66" s="136" customFormat="1">
      <c r="B114" s="146"/>
      <c r="C114" s="146"/>
      <c r="D114" s="11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2:66" s="136" customFormat="1">
      <c r="B115" s="146"/>
      <c r="C115" s="146"/>
      <c r="D115" s="11"/>
      <c r="E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2:66" s="136" customFormat="1">
      <c r="B116" s="146"/>
      <c r="C116" s="146"/>
      <c r="D116" s="11"/>
      <c r="E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2:66" s="136" customFormat="1">
      <c r="B117" s="146"/>
      <c r="C117" s="146"/>
      <c r="D117" s="11"/>
      <c r="E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2:66" s="136" customFormat="1">
      <c r="B118" s="146"/>
      <c r="C118" s="146"/>
      <c r="D118" s="11"/>
      <c r="E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2:66" s="136" customFormat="1">
      <c r="B119" s="146"/>
      <c r="C119" s="146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2:66" s="136" customFormat="1">
      <c r="B120" s="146"/>
      <c r="C120" s="146"/>
      <c r="D120" s="11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2:66" s="136" customFormat="1">
      <c r="B121" s="146"/>
      <c r="C121" s="146"/>
      <c r="D121" s="11"/>
      <c r="E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2:66" s="136" customFormat="1">
      <c r="B122" s="146"/>
      <c r="C122" s="146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2:66" s="136" customFormat="1">
      <c r="B123" s="146"/>
      <c r="C123" s="146"/>
      <c r="D123" s="11"/>
      <c r="E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2:66" s="136" customFormat="1">
      <c r="B124" s="146"/>
      <c r="C124" s="146"/>
      <c r="D124" s="11"/>
      <c r="E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2:66" s="136" customFormat="1">
      <c r="B125" s="146"/>
      <c r="C125" s="146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2:66" s="136" customFormat="1">
      <c r="B126" s="146"/>
      <c r="C126" s="146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2:66" s="136" customFormat="1">
      <c r="B127" s="146"/>
      <c r="C127" s="146"/>
      <c r="D127" s="11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2:66" s="136" customFormat="1">
      <c r="B128" s="146"/>
      <c r="C128" s="146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2:66" s="136" customFormat="1">
      <c r="B129" s="146"/>
      <c r="C129" s="146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2:66" s="136" customFormat="1">
      <c r="B130" s="146"/>
      <c r="C130" s="146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2:66" s="136" customFormat="1">
      <c r="B131" s="146"/>
      <c r="C131" s="146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2:66" s="136" customFormat="1">
      <c r="B132" s="146"/>
      <c r="C132" s="146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2:66" s="136" customFormat="1">
      <c r="B133" s="146"/>
      <c r="C133" s="146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2:66" s="136" customFormat="1">
      <c r="B134" s="146"/>
      <c r="C134" s="146"/>
      <c r="D134" s="11"/>
      <c r="E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2:66" s="136" customFormat="1">
      <c r="B135" s="146"/>
      <c r="C135" s="146"/>
      <c r="D135" s="11"/>
      <c r="E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2:66" s="136" customFormat="1">
      <c r="B136" s="146"/>
      <c r="C136" s="146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2:66" s="136" customFormat="1">
      <c r="B137" s="146"/>
      <c r="C137" s="146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2:66" s="136" customFormat="1">
      <c r="B138" s="146"/>
      <c r="C138" s="146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2:66" s="136" customFormat="1">
      <c r="B139" s="146"/>
      <c r="C139" s="146"/>
      <c r="D139" s="11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2:66" s="136" customFormat="1">
      <c r="B140" s="146"/>
      <c r="C140" s="146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2:66" s="136" customFormat="1">
      <c r="B141" s="146"/>
      <c r="C141" s="146"/>
      <c r="D141" s="11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2:66" s="136" customFormat="1">
      <c r="B142" s="146"/>
      <c r="C142" s="146"/>
      <c r="D142" s="11"/>
      <c r="E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2:66" s="136" customFormat="1">
      <c r="B143" s="146"/>
      <c r="C143" s="146"/>
      <c r="D143" s="11"/>
      <c r="E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2:66" s="136" customFormat="1">
      <c r="B144" s="146"/>
      <c r="C144" s="146"/>
      <c r="D144" s="11"/>
      <c r="E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2:66" s="136" customFormat="1">
      <c r="B145" s="146"/>
      <c r="C145" s="146"/>
      <c r="D145" s="11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2:66" s="136" customFormat="1">
      <c r="B146" s="146"/>
      <c r="C146" s="146"/>
      <c r="D146" s="11"/>
      <c r="E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2:66" s="136" customFormat="1">
      <c r="B147" s="146"/>
      <c r="C147" s="146"/>
      <c r="D147" s="11"/>
      <c r="E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2:66" s="136" customFormat="1">
      <c r="B148" s="146"/>
      <c r="C148" s="146"/>
      <c r="D148" s="11"/>
      <c r="E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  <row r="149" spans="2:66" s="136" customFormat="1">
      <c r="B149" s="146"/>
      <c r="C149" s="146"/>
      <c r="D149" s="11"/>
      <c r="E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2:66" s="136" customFormat="1">
      <c r="B150" s="146"/>
      <c r="C150" s="146"/>
      <c r="D150" s="11"/>
      <c r="E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2:66" s="136" customFormat="1">
      <c r="B151" s="146"/>
      <c r="C151" s="146"/>
      <c r="D151" s="11"/>
      <c r="E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2:66" s="136" customFormat="1">
      <c r="B152" s="146"/>
      <c r="C152" s="146"/>
      <c r="D152" s="11"/>
      <c r="E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2:66" s="136" customFormat="1">
      <c r="B153" s="146"/>
      <c r="C153" s="146"/>
      <c r="D153" s="11"/>
      <c r="E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2:66" s="136" customFormat="1">
      <c r="B154" s="146"/>
      <c r="C154" s="146"/>
      <c r="D154" s="11"/>
      <c r="E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</sheetData>
  <mergeCells count="1">
    <mergeCell ref="AT10:AX10"/>
  </mergeCells>
  <pageMargins left="0.25" right="0.25" top="0.5" bottom="0.75" header="0.25" footer="0.25"/>
  <pageSetup paperSize="17" scale="91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N148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.7109375" style="11" customWidth="1"/>
    <col min="5" max="5" width="11.140625" style="11" customWidth="1"/>
    <col min="6" max="6" width="53.85546875" style="136" customWidth="1"/>
    <col min="7" max="7" width="22.7109375" style="11" customWidth="1"/>
    <col min="8" max="8" width="15.7109375" style="11" customWidth="1"/>
    <col min="9" max="9" width="14.7109375" style="11" customWidth="1"/>
    <col min="10" max="10" width="12.5703125" style="11" customWidth="1"/>
    <col min="11" max="11" width="13.42578125" style="11" customWidth="1"/>
    <col min="12" max="12" width="13.140625" style="11" customWidth="1"/>
    <col min="13" max="13" width="13.42578125" style="11" customWidth="1"/>
    <col min="14" max="14" width="13.28515625" style="11" customWidth="1"/>
    <col min="15" max="15" width="13.42578125" style="11" customWidth="1"/>
    <col min="16" max="16" width="10.7109375" style="11" customWidth="1"/>
    <col min="17" max="17" width="13.42578125" style="11" hidden="1" customWidth="1"/>
    <col min="18" max="18" width="9.7109375" style="11" hidden="1" customWidth="1"/>
    <col min="19" max="19" width="13.140625" style="11" hidden="1" customWidth="1"/>
    <col min="20" max="20" width="12.140625" style="11" hidden="1" customWidth="1"/>
    <col min="21" max="21" width="11.42578125" style="11" customWidth="1"/>
    <col min="22" max="22" width="6.140625" style="11" customWidth="1"/>
    <col min="23" max="23" width="9.7109375" style="11" customWidth="1"/>
    <col min="24" max="24" width="7.140625" style="11" customWidth="1"/>
    <col min="25" max="25" width="11.28515625" style="11" customWidth="1"/>
    <col min="26" max="26" width="9.42578125" style="11" customWidth="1"/>
    <col min="27" max="27" width="10.5703125" style="11" customWidth="1"/>
    <col min="28" max="29" width="8.42578125" style="11" customWidth="1"/>
    <col min="30" max="30" width="12.5703125" style="11" customWidth="1"/>
    <col min="31" max="31" width="7.7109375" style="11" customWidth="1"/>
    <col min="32" max="32" width="10.28515625" style="11" customWidth="1"/>
    <col min="33" max="33" width="15.5703125" style="11" customWidth="1"/>
    <col min="34" max="34" width="7.7109375" style="11" customWidth="1"/>
    <col min="35" max="35" width="10.5703125" style="11" customWidth="1"/>
    <col min="36" max="36" width="6.140625" style="11" customWidth="1"/>
    <col min="37" max="38" width="9.28515625" style="11" customWidth="1"/>
    <col min="39" max="39" width="14.140625" style="11" customWidth="1"/>
    <col min="40" max="40" width="11" style="11" customWidth="1"/>
    <col min="41" max="41" width="9.140625" style="11" bestFit="1" customWidth="1"/>
    <col min="42" max="42" width="13" style="11" customWidth="1"/>
    <col min="43" max="43" width="9.140625" style="11" customWidth="1"/>
    <col min="44" max="44" width="14.85546875" style="11" customWidth="1"/>
    <col min="45" max="45" width="17.140625" style="11" customWidth="1"/>
    <col min="46" max="46" width="7" style="11" bestFit="1" customWidth="1"/>
    <col min="47" max="47" width="17.85546875" style="11" customWidth="1"/>
    <col min="48" max="48" width="6.85546875" style="11" bestFit="1" customWidth="1"/>
    <col min="49" max="49" width="6.7109375" style="11" customWidth="1"/>
    <col min="50" max="50" width="7.5703125" style="11" bestFit="1" customWidth="1"/>
    <col min="51" max="51" width="7" style="11" bestFit="1" customWidth="1"/>
    <col min="52" max="52" width="20.140625" style="11" bestFit="1" customWidth="1"/>
    <col min="53" max="53" width="6.85546875" style="11" bestFit="1" customWidth="1"/>
    <col min="54" max="54" width="5.5703125" style="11" bestFit="1" customWidth="1"/>
    <col min="55" max="55" width="7.5703125" style="11" bestFit="1" customWidth="1"/>
    <col min="56" max="56" width="17.85546875" style="11" customWidth="1"/>
    <col min="57" max="57" width="10.42578125" style="11" bestFit="1" customWidth="1"/>
    <col min="58" max="58" width="12" style="11" bestFit="1" customWidth="1"/>
    <col min="59" max="60" width="14.42578125" style="11" bestFit="1" customWidth="1"/>
    <col min="61" max="61" width="13.28515625" style="11" bestFit="1" customWidth="1"/>
    <col min="62" max="62" width="16.28515625" style="11" bestFit="1" customWidth="1"/>
    <col min="63" max="63" width="22.28515625" style="11" customWidth="1"/>
    <col min="64" max="64" width="12.140625" style="11" hidden="1" customWidth="1"/>
    <col min="65" max="65" width="15.42578125" style="11" hidden="1" customWidth="1"/>
    <col min="66" max="66" width="12.42578125" style="11" hidden="1" customWidth="1"/>
    <col min="67" max="16384" width="9.140625" style="11"/>
  </cols>
  <sheetData>
    <row r="2" spans="1:66" ht="23.25">
      <c r="F2" s="9" t="s">
        <v>578</v>
      </c>
      <c r="H2" s="9"/>
      <c r="I2" s="10"/>
    </row>
    <row r="3" spans="1:66" ht="20.25">
      <c r="F3" s="242">
        <v>41730</v>
      </c>
    </row>
    <row r="4" spans="1:66" ht="15.75">
      <c r="D4" s="137" t="s">
        <v>17</v>
      </c>
      <c r="E4" s="137"/>
      <c r="I4" s="16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Y4" s="18" t="s">
        <v>16</v>
      </c>
      <c r="Z4" s="18"/>
      <c r="AA4" s="17"/>
      <c r="AB4" s="17"/>
      <c r="AC4" s="19"/>
      <c r="AD4" s="19"/>
      <c r="AE4" s="19"/>
      <c r="AF4" s="19"/>
      <c r="AG4" s="19"/>
      <c r="AH4" s="19"/>
      <c r="AI4" s="19"/>
      <c r="AJ4" s="19"/>
      <c r="AP4" s="221" t="s">
        <v>703</v>
      </c>
      <c r="AQ4" s="221"/>
      <c r="AR4" s="392" t="s">
        <v>19</v>
      </c>
      <c r="AS4" s="392"/>
      <c r="AT4" s="393" t="s">
        <v>22</v>
      </c>
      <c r="AU4" s="393"/>
      <c r="AV4" s="393"/>
      <c r="AW4" s="393"/>
      <c r="AX4" s="393"/>
      <c r="AY4" s="398" t="s">
        <v>28</v>
      </c>
      <c r="AZ4" s="398"/>
      <c r="BA4" s="398"/>
      <c r="BB4" s="398"/>
      <c r="BC4" s="398"/>
      <c r="BD4" s="389" t="s">
        <v>34</v>
      </c>
      <c r="BE4" s="389"/>
      <c r="BF4" s="389"/>
      <c r="BG4" s="389"/>
      <c r="BH4" s="389"/>
      <c r="BI4" s="389"/>
      <c r="BJ4" s="389"/>
      <c r="BK4" s="389"/>
    </row>
    <row r="5" spans="1:66" ht="30">
      <c r="B5" s="139" t="s">
        <v>0</v>
      </c>
      <c r="C5" s="150" t="s">
        <v>658</v>
      </c>
      <c r="D5" s="139" t="s">
        <v>2</v>
      </c>
      <c r="E5" s="30" t="s">
        <v>56</v>
      </c>
      <c r="F5" s="30" t="s">
        <v>1</v>
      </c>
      <c r="G5" s="31" t="s">
        <v>3</v>
      </c>
      <c r="H5" s="31" t="s">
        <v>7</v>
      </c>
      <c r="I5" s="31" t="s">
        <v>4</v>
      </c>
      <c r="J5" s="31" t="s">
        <v>6</v>
      </c>
      <c r="K5" s="31" t="s">
        <v>5</v>
      </c>
      <c r="L5" s="31" t="s">
        <v>57</v>
      </c>
      <c r="M5" s="31" t="s">
        <v>54</v>
      </c>
      <c r="N5" s="31" t="s">
        <v>58</v>
      </c>
      <c r="O5" s="31" t="s">
        <v>59</v>
      </c>
      <c r="P5" s="31" t="s">
        <v>60</v>
      </c>
      <c r="Q5" s="31" t="s">
        <v>61</v>
      </c>
      <c r="R5" s="31" t="s">
        <v>62</v>
      </c>
      <c r="S5" s="31" t="s">
        <v>565</v>
      </c>
      <c r="T5" s="31" t="s">
        <v>62</v>
      </c>
      <c r="U5" s="32" t="s">
        <v>8</v>
      </c>
      <c r="V5" s="32" t="s">
        <v>47</v>
      </c>
      <c r="W5" s="32" t="s">
        <v>9</v>
      </c>
      <c r="X5" s="32" t="s">
        <v>36</v>
      </c>
      <c r="Y5" s="32" t="s">
        <v>10</v>
      </c>
      <c r="Z5" s="32" t="s">
        <v>48</v>
      </c>
      <c r="AA5" s="32" t="s">
        <v>11</v>
      </c>
      <c r="AB5" s="32" t="s">
        <v>53</v>
      </c>
      <c r="AC5" s="32" t="s">
        <v>12</v>
      </c>
      <c r="AD5" s="32" t="s">
        <v>52</v>
      </c>
      <c r="AE5" s="32" t="s">
        <v>49</v>
      </c>
      <c r="AF5" s="32" t="s">
        <v>14</v>
      </c>
      <c r="AG5" s="32" t="s">
        <v>37</v>
      </c>
      <c r="AH5" s="32" t="s">
        <v>50</v>
      </c>
      <c r="AI5" s="32" t="s">
        <v>51</v>
      </c>
      <c r="AJ5" s="32" t="s">
        <v>46</v>
      </c>
      <c r="AK5" s="32" t="s">
        <v>38</v>
      </c>
      <c r="AL5" s="32" t="s">
        <v>738</v>
      </c>
      <c r="AM5" s="32" t="s">
        <v>39</v>
      </c>
      <c r="AN5" s="32" t="s">
        <v>40</v>
      </c>
      <c r="AO5" s="32" t="s">
        <v>13</v>
      </c>
      <c r="AP5" s="140" t="s">
        <v>20</v>
      </c>
      <c r="AQ5" s="141" t="s">
        <v>21</v>
      </c>
      <c r="AR5" s="33" t="s">
        <v>18</v>
      </c>
      <c r="AS5" s="33" t="s">
        <v>55</v>
      </c>
      <c r="AT5" s="35" t="s">
        <v>23</v>
      </c>
      <c r="AU5" s="35" t="s">
        <v>24</v>
      </c>
      <c r="AV5" s="35" t="s">
        <v>25</v>
      </c>
      <c r="AW5" s="35" t="s">
        <v>26</v>
      </c>
      <c r="AX5" s="35" t="s">
        <v>27</v>
      </c>
      <c r="AY5" s="36" t="s">
        <v>23</v>
      </c>
      <c r="AZ5" s="36" t="s">
        <v>24</v>
      </c>
      <c r="BA5" s="36" t="s">
        <v>25</v>
      </c>
      <c r="BB5" s="36" t="s">
        <v>26</v>
      </c>
      <c r="BC5" s="36" t="s">
        <v>27</v>
      </c>
      <c r="BD5" s="37" t="s">
        <v>45</v>
      </c>
      <c r="BE5" s="38" t="s">
        <v>29</v>
      </c>
      <c r="BF5" s="38" t="s">
        <v>30</v>
      </c>
      <c r="BG5" s="38" t="s">
        <v>31</v>
      </c>
      <c r="BH5" s="38" t="s">
        <v>32</v>
      </c>
      <c r="BI5" s="38" t="s">
        <v>33</v>
      </c>
      <c r="BJ5" s="38" t="s">
        <v>35</v>
      </c>
      <c r="BK5" s="38" t="s">
        <v>44</v>
      </c>
      <c r="BL5" s="38" t="s">
        <v>41</v>
      </c>
      <c r="BM5" s="38" t="s">
        <v>42</v>
      </c>
      <c r="BN5" s="38" t="s">
        <v>43</v>
      </c>
    </row>
    <row r="6" spans="1:66">
      <c r="A6" s="244"/>
      <c r="B6" s="209" t="s">
        <v>1230</v>
      </c>
      <c r="C6" s="215" t="s">
        <v>541</v>
      </c>
      <c r="D6" s="261" t="s">
        <v>1242</v>
      </c>
      <c r="E6" s="246" t="s">
        <v>587</v>
      </c>
      <c r="F6" s="246" t="s">
        <v>1246</v>
      </c>
      <c r="G6" s="209" t="s">
        <v>1244</v>
      </c>
      <c r="H6" s="209" t="s">
        <v>1243</v>
      </c>
      <c r="I6" s="209" t="s">
        <v>94</v>
      </c>
      <c r="J6" s="209" t="s">
        <v>1245</v>
      </c>
      <c r="K6" s="209"/>
      <c r="L6" s="209"/>
      <c r="M6" s="209"/>
      <c r="N6" s="209"/>
      <c r="O6" s="209"/>
      <c r="P6" s="209"/>
      <c r="Q6" s="197"/>
      <c r="R6" s="197"/>
      <c r="S6" s="197"/>
      <c r="T6" s="197"/>
      <c r="U6" s="217" t="s">
        <v>1268</v>
      </c>
      <c r="V6" s="217"/>
      <c r="W6" s="181"/>
      <c r="X6" s="217"/>
      <c r="Y6" s="219" t="s">
        <v>1269</v>
      </c>
      <c r="Z6" s="217"/>
      <c r="AA6" s="219" t="s">
        <v>1270</v>
      </c>
      <c r="AB6" s="248"/>
      <c r="AC6" s="215"/>
      <c r="AD6" s="215"/>
      <c r="AE6" s="215"/>
      <c r="AF6" s="215"/>
      <c r="AG6" s="215"/>
      <c r="AH6" s="215"/>
      <c r="AI6" s="215"/>
      <c r="AJ6" s="174"/>
      <c r="AK6" s="245"/>
      <c r="AL6" s="245"/>
      <c r="AM6" s="245"/>
      <c r="AN6" s="245"/>
      <c r="AO6" s="215"/>
      <c r="AP6" s="258"/>
      <c r="AQ6" s="175"/>
      <c r="AR6" s="188" t="s">
        <v>1254</v>
      </c>
      <c r="AS6" s="188" t="s">
        <v>1255</v>
      </c>
      <c r="AT6" s="403" t="s">
        <v>662</v>
      </c>
      <c r="AU6" s="403"/>
      <c r="AV6" s="403"/>
      <c r="AW6" s="403"/>
      <c r="AX6" s="403"/>
      <c r="AY6" s="260">
        <v>21.25</v>
      </c>
      <c r="AZ6" s="260">
        <v>5.25</v>
      </c>
      <c r="BA6" s="260">
        <v>7.12</v>
      </c>
      <c r="BB6" s="191">
        <f t="shared" ref="BB6:BB11" si="0">(BA6*AZ6*AY6)/1728</f>
        <v>0.4596788194444445</v>
      </c>
      <c r="BC6" s="260">
        <v>5.4</v>
      </c>
      <c r="BD6" s="264" t="s">
        <v>68</v>
      </c>
      <c r="BE6" s="194">
        <v>1</v>
      </c>
      <c r="BF6" s="194">
        <v>45</v>
      </c>
      <c r="BG6" s="194">
        <v>2</v>
      </c>
      <c r="BH6" s="194">
        <f t="shared" ref="BH6:BH11" si="1">BE6*BF6*BG6</f>
        <v>90</v>
      </c>
      <c r="BI6" s="194">
        <f t="shared" ref="BI6:BI11" si="2">(BC6*BF6*BG6)+50</f>
        <v>536</v>
      </c>
      <c r="BJ6" s="265" t="s">
        <v>65</v>
      </c>
      <c r="BK6" s="194" t="s">
        <v>107</v>
      </c>
      <c r="BL6" s="38"/>
      <c r="BM6" s="38"/>
      <c r="BN6" s="38"/>
    </row>
    <row r="7" spans="1:66">
      <c r="A7" s="244"/>
      <c r="B7" s="215" t="s">
        <v>1231</v>
      </c>
      <c r="C7" s="215" t="s">
        <v>582</v>
      </c>
      <c r="D7" s="261" t="s">
        <v>991</v>
      </c>
      <c r="E7" s="246" t="s">
        <v>304</v>
      </c>
      <c r="F7" s="246" t="s">
        <v>1237</v>
      </c>
      <c r="G7" s="209" t="s">
        <v>1251</v>
      </c>
      <c r="H7" s="209" t="s">
        <v>1247</v>
      </c>
      <c r="I7" s="249" t="s">
        <v>260</v>
      </c>
      <c r="J7" s="182" t="s">
        <v>1274</v>
      </c>
      <c r="K7" s="182"/>
      <c r="L7" s="184"/>
      <c r="M7" s="197"/>
      <c r="N7" s="197"/>
      <c r="O7" s="197"/>
      <c r="P7" s="197"/>
      <c r="Q7" s="197"/>
      <c r="R7" s="197"/>
      <c r="S7" s="197"/>
      <c r="T7" s="197"/>
      <c r="U7" s="217"/>
      <c r="V7" s="217"/>
      <c r="W7" s="181">
        <v>84262</v>
      </c>
      <c r="X7" s="217"/>
      <c r="Y7" s="219"/>
      <c r="Z7" s="217"/>
      <c r="AA7" s="219"/>
      <c r="AB7" s="250" t="s">
        <v>1271</v>
      </c>
      <c r="AC7" s="209" t="s">
        <v>1272</v>
      </c>
      <c r="AD7" s="209" t="s">
        <v>1273</v>
      </c>
      <c r="AE7" s="215"/>
      <c r="AF7" s="215"/>
      <c r="AG7" s="209" t="s">
        <v>1275</v>
      </c>
      <c r="AH7" s="215"/>
      <c r="AI7" s="215"/>
      <c r="AJ7" s="174">
        <v>7262</v>
      </c>
      <c r="AK7" s="251" t="s">
        <v>1277</v>
      </c>
      <c r="AL7" s="245"/>
      <c r="AM7" s="251" t="s">
        <v>1276</v>
      </c>
      <c r="AN7" s="251" t="s">
        <v>1278</v>
      </c>
      <c r="AO7" s="215">
        <v>57262</v>
      </c>
      <c r="AP7" s="258"/>
      <c r="AQ7" s="175"/>
      <c r="AR7" s="266" t="s">
        <v>1256</v>
      </c>
      <c r="AS7" s="266" t="s">
        <v>1257</v>
      </c>
      <c r="AT7" s="260">
        <v>3.8479999999999999</v>
      </c>
      <c r="AU7" s="260">
        <v>3.8479999999999999</v>
      </c>
      <c r="AV7" s="260">
        <v>4.4470000000000001</v>
      </c>
      <c r="AW7" s="191">
        <f>(AV7*AU7*AT7)/1728</f>
        <v>3.8106013592592587E-2</v>
      </c>
      <c r="AX7" s="260">
        <v>0.4</v>
      </c>
      <c r="AY7" s="260">
        <v>11.936999999999999</v>
      </c>
      <c r="AZ7" s="260">
        <v>8</v>
      </c>
      <c r="BA7" s="260">
        <v>5</v>
      </c>
      <c r="BB7" s="191">
        <f t="shared" si="0"/>
        <v>0.2763194444444444</v>
      </c>
      <c r="BC7" s="260">
        <f>AX7*BE7+0.25</f>
        <v>2.6500000000000004</v>
      </c>
      <c r="BD7" s="267" t="s">
        <v>68</v>
      </c>
      <c r="BE7" s="194">
        <v>6</v>
      </c>
      <c r="BF7" s="194">
        <v>20</v>
      </c>
      <c r="BG7" s="194">
        <v>9</v>
      </c>
      <c r="BH7" s="194">
        <f t="shared" si="1"/>
        <v>1080</v>
      </c>
      <c r="BI7" s="194">
        <f t="shared" si="2"/>
        <v>527</v>
      </c>
      <c r="BJ7" s="268" t="s">
        <v>65</v>
      </c>
      <c r="BK7" s="194" t="s">
        <v>107</v>
      </c>
      <c r="BL7" s="38"/>
      <c r="BM7" s="38"/>
      <c r="BN7" s="38"/>
    </row>
    <row r="8" spans="1:66">
      <c r="A8" s="244"/>
      <c r="B8" s="215" t="s">
        <v>1232</v>
      </c>
      <c r="C8" s="215" t="s">
        <v>582</v>
      </c>
      <c r="D8" s="261" t="s">
        <v>991</v>
      </c>
      <c r="E8" s="246" t="s">
        <v>304</v>
      </c>
      <c r="F8" s="246" t="s">
        <v>1238</v>
      </c>
      <c r="G8" s="209" t="s">
        <v>1165</v>
      </c>
      <c r="H8" s="215">
        <v>11427583220</v>
      </c>
      <c r="I8" s="249" t="s">
        <v>260</v>
      </c>
      <c r="J8" s="182" t="s">
        <v>1281</v>
      </c>
      <c r="K8" s="182"/>
      <c r="L8" s="184"/>
      <c r="M8" s="197"/>
      <c r="N8" s="197"/>
      <c r="O8" s="197"/>
      <c r="P8" s="197"/>
      <c r="Q8" s="197"/>
      <c r="R8" s="197"/>
      <c r="S8" s="197"/>
      <c r="T8" s="197"/>
      <c r="U8" s="217"/>
      <c r="V8" s="217"/>
      <c r="W8" s="181">
        <v>84189</v>
      </c>
      <c r="X8" s="217"/>
      <c r="Y8" s="219"/>
      <c r="Z8" s="217"/>
      <c r="AA8" s="219"/>
      <c r="AB8" s="250" t="s">
        <v>1279</v>
      </c>
      <c r="AC8" s="209" t="s">
        <v>1280</v>
      </c>
      <c r="AD8" s="215"/>
      <c r="AE8" s="209"/>
      <c r="AF8" s="215"/>
      <c r="AG8" s="209" t="s">
        <v>1282</v>
      </c>
      <c r="AH8" s="215"/>
      <c r="AI8" s="215"/>
      <c r="AJ8" s="174">
        <v>7189</v>
      </c>
      <c r="AK8" s="251" t="s">
        <v>1283</v>
      </c>
      <c r="AL8" s="251" t="s">
        <v>1285</v>
      </c>
      <c r="AM8" s="251" t="s">
        <v>1284</v>
      </c>
      <c r="AN8" s="251" t="s">
        <v>1286</v>
      </c>
      <c r="AO8" s="215">
        <v>57189</v>
      </c>
      <c r="AP8" s="258"/>
      <c r="AQ8" s="175"/>
      <c r="AR8" s="266" t="s">
        <v>1258</v>
      </c>
      <c r="AS8" s="266" t="s">
        <v>1259</v>
      </c>
      <c r="AT8" s="260">
        <v>3.1859999999999999</v>
      </c>
      <c r="AU8" s="260">
        <v>3.1920000000000002</v>
      </c>
      <c r="AV8" s="260">
        <v>4.9420000000000002</v>
      </c>
      <c r="AW8" s="191">
        <f>(AV8*AU8*AT8)/1728</f>
        <v>2.9084905500000001E-2</v>
      </c>
      <c r="AX8" s="260">
        <v>0.31</v>
      </c>
      <c r="AY8" s="260">
        <v>10</v>
      </c>
      <c r="AZ8" s="260">
        <v>6.75</v>
      </c>
      <c r="BA8" s="260">
        <v>5.5</v>
      </c>
      <c r="BB8" s="191">
        <f t="shared" si="0"/>
        <v>0.21484375</v>
      </c>
      <c r="BC8" s="260">
        <f>AX8*BE8+0.25</f>
        <v>2.11</v>
      </c>
      <c r="BD8" s="267" t="s">
        <v>68</v>
      </c>
      <c r="BE8" s="194">
        <v>6</v>
      </c>
      <c r="BF8" s="194">
        <v>26</v>
      </c>
      <c r="BG8" s="194">
        <v>8</v>
      </c>
      <c r="BH8" s="194">
        <f t="shared" si="1"/>
        <v>1248</v>
      </c>
      <c r="BI8" s="194">
        <f t="shared" si="2"/>
        <v>488.88</v>
      </c>
      <c r="BJ8" s="268" t="s">
        <v>65</v>
      </c>
      <c r="BK8" s="194" t="s">
        <v>107</v>
      </c>
      <c r="BL8" s="38"/>
      <c r="BM8" s="38"/>
      <c r="BN8" s="38"/>
    </row>
    <row r="9" spans="1:66">
      <c r="A9" s="244"/>
      <c r="B9" s="215" t="s">
        <v>1233</v>
      </c>
      <c r="C9" s="215" t="s">
        <v>582</v>
      </c>
      <c r="D9" s="261" t="s">
        <v>989</v>
      </c>
      <c r="E9" s="246" t="s">
        <v>85</v>
      </c>
      <c r="F9" s="209" t="s">
        <v>1239</v>
      </c>
      <c r="G9" s="209" t="s">
        <v>282</v>
      </c>
      <c r="H9" s="215">
        <v>92234714</v>
      </c>
      <c r="I9" s="249" t="s">
        <v>1287</v>
      </c>
      <c r="J9" s="182" t="s">
        <v>1288</v>
      </c>
      <c r="K9" s="182"/>
      <c r="L9" s="184"/>
      <c r="M9" s="197"/>
      <c r="N9" s="197"/>
      <c r="O9" s="197"/>
      <c r="P9" s="197"/>
      <c r="Q9" s="197"/>
      <c r="R9" s="197"/>
      <c r="S9" s="197"/>
      <c r="T9" s="197"/>
      <c r="U9" s="217"/>
      <c r="V9" s="217"/>
      <c r="W9" s="181">
        <v>89014</v>
      </c>
      <c r="X9" s="217"/>
      <c r="Y9" s="219"/>
      <c r="Z9" s="217"/>
      <c r="AA9" s="219"/>
      <c r="AB9" s="250" t="s">
        <v>1289</v>
      </c>
      <c r="AC9" s="209" t="s">
        <v>1290</v>
      </c>
      <c r="AD9" s="215"/>
      <c r="AE9" s="215"/>
      <c r="AF9" s="215"/>
      <c r="AG9" s="215"/>
      <c r="AH9" s="215"/>
      <c r="AI9" s="215"/>
      <c r="AJ9" s="174">
        <v>4014</v>
      </c>
      <c r="AK9" s="251" t="s">
        <v>1291</v>
      </c>
      <c r="AL9" s="251" t="s">
        <v>1233</v>
      </c>
      <c r="AM9" s="251" t="s">
        <v>1291</v>
      </c>
      <c r="AN9" s="251" t="s">
        <v>1292</v>
      </c>
      <c r="AO9" s="215">
        <v>24014</v>
      </c>
      <c r="AP9" s="258"/>
      <c r="AQ9" s="175"/>
      <c r="AR9" s="266" t="s">
        <v>1260</v>
      </c>
      <c r="AS9" s="266" t="s">
        <v>1261</v>
      </c>
      <c r="AT9" s="395" t="s">
        <v>720</v>
      </c>
      <c r="AU9" s="396"/>
      <c r="AV9" s="396"/>
      <c r="AW9" s="396"/>
      <c r="AX9" s="397"/>
      <c r="AY9" s="260">
        <v>12</v>
      </c>
      <c r="AZ9" s="260">
        <v>10.37</v>
      </c>
      <c r="BA9" s="260">
        <v>10.62</v>
      </c>
      <c r="BB9" s="191">
        <f t="shared" si="0"/>
        <v>0.76478749999999995</v>
      </c>
      <c r="BC9" s="260">
        <f>0.83*BE9+0.25</f>
        <v>5.2299999999999995</v>
      </c>
      <c r="BD9" s="267" t="s">
        <v>68</v>
      </c>
      <c r="BE9" s="194">
        <v>6</v>
      </c>
      <c r="BF9" s="194">
        <v>12</v>
      </c>
      <c r="BG9" s="194">
        <v>4</v>
      </c>
      <c r="BH9" s="194">
        <f t="shared" si="1"/>
        <v>288</v>
      </c>
      <c r="BI9" s="194">
        <f t="shared" si="2"/>
        <v>301.03999999999996</v>
      </c>
      <c r="BJ9" s="268" t="s">
        <v>65</v>
      </c>
      <c r="BK9" s="194" t="s">
        <v>107</v>
      </c>
      <c r="BL9" s="38"/>
      <c r="BM9" s="38"/>
      <c r="BN9" s="38"/>
    </row>
    <row r="10" spans="1:66">
      <c r="A10" s="244"/>
      <c r="B10" s="215" t="s">
        <v>1234</v>
      </c>
      <c r="C10" s="215" t="s">
        <v>582</v>
      </c>
      <c r="D10" s="261" t="s">
        <v>989</v>
      </c>
      <c r="E10" s="246" t="s">
        <v>85</v>
      </c>
      <c r="F10" s="209" t="s">
        <v>1240</v>
      </c>
      <c r="G10" s="152" t="s">
        <v>1252</v>
      </c>
      <c r="H10" s="215" t="s">
        <v>1248</v>
      </c>
      <c r="I10" s="249"/>
      <c r="J10" s="182"/>
      <c r="K10" s="249"/>
      <c r="L10" s="182"/>
      <c r="M10" s="182"/>
      <c r="N10" s="209"/>
      <c r="O10" s="209"/>
      <c r="P10" s="209"/>
      <c r="Q10" s="197"/>
      <c r="R10" s="197"/>
      <c r="S10" s="197"/>
      <c r="T10" s="197"/>
      <c r="U10" s="217"/>
      <c r="V10" s="217"/>
      <c r="W10" s="181"/>
      <c r="X10" s="217"/>
      <c r="Y10" s="219"/>
      <c r="Z10" s="217"/>
      <c r="AA10" s="219"/>
      <c r="AB10" s="250" t="s">
        <v>1293</v>
      </c>
      <c r="AC10" s="215"/>
      <c r="AD10" s="215"/>
      <c r="AE10" s="215"/>
      <c r="AF10" s="215"/>
      <c r="AG10" s="215"/>
      <c r="AH10" s="215"/>
      <c r="AI10" s="215"/>
      <c r="AJ10" s="174"/>
      <c r="AK10" s="251" t="s">
        <v>1294</v>
      </c>
      <c r="AL10" s="251" t="s">
        <v>1234</v>
      </c>
      <c r="AM10" s="251" t="s">
        <v>1294</v>
      </c>
      <c r="AN10" s="251" t="s">
        <v>1295</v>
      </c>
      <c r="AO10" s="215">
        <v>24600</v>
      </c>
      <c r="AP10" s="263">
        <v>19.21</v>
      </c>
      <c r="AQ10" s="175"/>
      <c r="AR10" s="266" t="s">
        <v>1262</v>
      </c>
      <c r="AS10" s="266" t="s">
        <v>1263</v>
      </c>
      <c r="AT10" s="395" t="s">
        <v>720</v>
      </c>
      <c r="AU10" s="396"/>
      <c r="AV10" s="396"/>
      <c r="AW10" s="396"/>
      <c r="AX10" s="397"/>
      <c r="AY10" s="260">
        <v>11</v>
      </c>
      <c r="AZ10" s="260">
        <v>8</v>
      </c>
      <c r="BA10" s="260">
        <v>8.6199999999999992</v>
      </c>
      <c r="BB10" s="191">
        <f t="shared" si="0"/>
        <v>0.43898148148148147</v>
      </c>
      <c r="BC10" s="260">
        <f>0.06*BE10+0.4</f>
        <v>0.76</v>
      </c>
      <c r="BD10" s="267" t="s">
        <v>68</v>
      </c>
      <c r="BE10" s="194">
        <v>6</v>
      </c>
      <c r="BF10" s="194">
        <v>20</v>
      </c>
      <c r="BG10" s="194">
        <v>4</v>
      </c>
      <c r="BH10" s="194">
        <f t="shared" si="1"/>
        <v>480</v>
      </c>
      <c r="BI10" s="194">
        <f t="shared" si="2"/>
        <v>110.8</v>
      </c>
      <c r="BJ10" s="268" t="s">
        <v>65</v>
      </c>
      <c r="BK10" s="194" t="s">
        <v>107</v>
      </c>
      <c r="BL10" s="38"/>
      <c r="BM10" s="38"/>
      <c r="BN10" s="38"/>
    </row>
    <row r="11" spans="1:66">
      <c r="A11" s="244"/>
      <c r="B11" s="215" t="s">
        <v>1235</v>
      </c>
      <c r="C11" s="215" t="s">
        <v>582</v>
      </c>
      <c r="D11" s="261" t="s">
        <v>989</v>
      </c>
      <c r="E11" s="246" t="s">
        <v>85</v>
      </c>
      <c r="F11" s="209" t="s">
        <v>1241</v>
      </c>
      <c r="G11" s="152" t="s">
        <v>764</v>
      </c>
      <c r="H11" s="209" t="s">
        <v>1249</v>
      </c>
      <c r="I11" s="249"/>
      <c r="J11" s="182"/>
      <c r="K11" s="249"/>
      <c r="L11" s="182"/>
      <c r="M11" s="182"/>
      <c r="N11" s="209"/>
      <c r="O11" s="209"/>
      <c r="P11" s="209"/>
      <c r="Q11" s="197"/>
      <c r="R11" s="197"/>
      <c r="S11" s="197"/>
      <c r="T11" s="197"/>
      <c r="U11" s="217"/>
      <c r="V11" s="217"/>
      <c r="W11" s="181"/>
      <c r="X11" s="217"/>
      <c r="Y11" s="219"/>
      <c r="Z11" s="217"/>
      <c r="AA11" s="219"/>
      <c r="AB11" s="250" t="s">
        <v>1296</v>
      </c>
      <c r="AC11" s="215"/>
      <c r="AD11" s="215"/>
      <c r="AE11" s="215"/>
      <c r="AF11" s="215"/>
      <c r="AG11" s="215"/>
      <c r="AH11" s="215"/>
      <c r="AI11" s="215"/>
      <c r="AJ11" s="174"/>
      <c r="AK11" s="251" t="s">
        <v>1297</v>
      </c>
      <c r="AL11" s="251" t="s">
        <v>1235</v>
      </c>
      <c r="AM11" s="251" t="s">
        <v>1297</v>
      </c>
      <c r="AN11" s="251" t="s">
        <v>1298</v>
      </c>
      <c r="AO11" s="215">
        <v>24579</v>
      </c>
      <c r="AP11" s="263">
        <v>13.2</v>
      </c>
      <c r="AQ11" s="175"/>
      <c r="AR11" s="266" t="s">
        <v>1264</v>
      </c>
      <c r="AS11" s="266" t="s">
        <v>1265</v>
      </c>
      <c r="AT11" s="395" t="s">
        <v>720</v>
      </c>
      <c r="AU11" s="396"/>
      <c r="AV11" s="396"/>
      <c r="AW11" s="396"/>
      <c r="AX11" s="397"/>
      <c r="AY11" s="260">
        <v>11</v>
      </c>
      <c r="AZ11" s="260">
        <v>8</v>
      </c>
      <c r="BA11" s="260">
        <v>9.25</v>
      </c>
      <c r="BB11" s="191">
        <f t="shared" si="0"/>
        <v>0.47106481481481483</v>
      </c>
      <c r="BC11" s="260">
        <f>0.08*BE11+0.4</f>
        <v>0.88</v>
      </c>
      <c r="BD11" s="267" t="s">
        <v>68</v>
      </c>
      <c r="BE11" s="194">
        <v>6</v>
      </c>
      <c r="BF11" s="194">
        <v>18</v>
      </c>
      <c r="BG11" s="194">
        <v>4</v>
      </c>
      <c r="BH11" s="194">
        <f t="shared" si="1"/>
        <v>432</v>
      </c>
      <c r="BI11" s="194">
        <f t="shared" si="2"/>
        <v>113.36</v>
      </c>
      <c r="BJ11" s="268" t="s">
        <v>65</v>
      </c>
      <c r="BK11" s="194" t="s">
        <v>107</v>
      </c>
      <c r="BL11" s="38"/>
      <c r="BM11" s="38"/>
      <c r="BN11" s="38"/>
    </row>
    <row r="12" spans="1:66">
      <c r="A12" s="244"/>
      <c r="B12" s="215" t="s">
        <v>1236</v>
      </c>
      <c r="C12" s="215" t="s">
        <v>582</v>
      </c>
      <c r="D12" s="261" t="s">
        <v>989</v>
      </c>
      <c r="E12" s="246" t="s">
        <v>85</v>
      </c>
      <c r="F12" s="262" t="s">
        <v>1253</v>
      </c>
      <c r="G12" s="152" t="s">
        <v>697</v>
      </c>
      <c r="H12" s="209" t="s">
        <v>1250</v>
      </c>
      <c r="I12" s="249"/>
      <c r="J12" s="182"/>
      <c r="K12" s="249"/>
      <c r="L12" s="182"/>
      <c r="M12" s="182"/>
      <c r="N12" s="209"/>
      <c r="O12" s="209"/>
      <c r="P12" s="209"/>
      <c r="Q12" s="197"/>
      <c r="R12" s="197"/>
      <c r="S12" s="197"/>
      <c r="T12" s="197"/>
      <c r="U12" s="217"/>
      <c r="V12" s="217"/>
      <c r="W12" s="181"/>
      <c r="X12" s="217"/>
      <c r="Y12" s="219"/>
      <c r="Z12" s="217"/>
      <c r="AA12" s="219"/>
      <c r="AB12" s="250" t="s">
        <v>1299</v>
      </c>
      <c r="AC12" s="215"/>
      <c r="AD12" s="215"/>
      <c r="AE12" s="215"/>
      <c r="AF12" s="215"/>
      <c r="AG12" s="215"/>
      <c r="AH12" s="215"/>
      <c r="AI12" s="215"/>
      <c r="AJ12" s="174"/>
      <c r="AK12" s="251" t="s">
        <v>1300</v>
      </c>
      <c r="AL12" s="251" t="s">
        <v>1236</v>
      </c>
      <c r="AM12" s="251" t="s">
        <v>1300</v>
      </c>
      <c r="AN12" s="251" t="s">
        <v>1301</v>
      </c>
      <c r="AO12" s="215">
        <v>24761</v>
      </c>
      <c r="AP12" s="263">
        <v>28.2</v>
      </c>
      <c r="AQ12" s="175"/>
      <c r="AR12" s="266" t="s">
        <v>1266</v>
      </c>
      <c r="AS12" s="266" t="s">
        <v>1267</v>
      </c>
      <c r="AT12" s="395" t="s">
        <v>720</v>
      </c>
      <c r="AU12" s="396"/>
      <c r="AV12" s="396"/>
      <c r="AW12" s="396"/>
      <c r="AX12" s="397"/>
      <c r="AY12" s="260">
        <v>10.5</v>
      </c>
      <c r="AZ12" s="260">
        <v>8.75</v>
      </c>
      <c r="BA12" s="260">
        <v>9.75</v>
      </c>
      <c r="BB12" s="191">
        <f>(BA12*AZ12*AY12)/1728</f>
        <v>0.51839192708333337</v>
      </c>
      <c r="BC12" s="260">
        <f>0.07*BE12+0.4</f>
        <v>0.82000000000000006</v>
      </c>
      <c r="BD12" s="267" t="s">
        <v>68</v>
      </c>
      <c r="BE12" s="194">
        <v>6</v>
      </c>
      <c r="BF12" s="194">
        <v>18</v>
      </c>
      <c r="BG12" s="194">
        <v>4</v>
      </c>
      <c r="BH12" s="194">
        <f>BE12*BF12*BG12</f>
        <v>432</v>
      </c>
      <c r="BI12" s="194">
        <f>(BC12*BF12*BG12)+50</f>
        <v>109.04</v>
      </c>
      <c r="BJ12" s="268" t="s">
        <v>65</v>
      </c>
      <c r="BK12" s="194" t="s">
        <v>107</v>
      </c>
      <c r="BL12" s="38"/>
      <c r="BM12" s="38"/>
      <c r="BN12" s="38"/>
    </row>
    <row r="14" spans="1:66" s="146" customFormat="1">
      <c r="B14" s="142"/>
      <c r="C14" s="142"/>
      <c r="D14" s="142"/>
      <c r="E14" s="11"/>
      <c r="F14" s="142"/>
      <c r="G14" s="142"/>
      <c r="H14" s="89"/>
      <c r="I14" s="11"/>
      <c r="J14" s="11"/>
      <c r="K14" s="11"/>
      <c r="U14" s="11"/>
      <c r="AA14" s="11"/>
      <c r="AB14" s="11"/>
      <c r="AP14" s="143"/>
      <c r="AQ14" s="144"/>
      <c r="AR14" s="11"/>
      <c r="AT14" s="86"/>
      <c r="AU14" s="86"/>
      <c r="AV14" s="86"/>
      <c r="AW14" s="11"/>
      <c r="AX14" s="86"/>
      <c r="AY14" s="86"/>
      <c r="AZ14" s="86"/>
      <c r="BA14" s="86"/>
      <c r="BB14" s="11"/>
      <c r="BC14" s="86"/>
      <c r="BD14" s="11"/>
      <c r="BE14" s="11"/>
      <c r="BJ14" s="11"/>
      <c r="BK14" s="89"/>
    </row>
    <row r="15" spans="1:66" ht="7.5" customHeight="1">
      <c r="B15" s="160"/>
      <c r="C15" s="160"/>
      <c r="D15" s="160"/>
      <c r="E15" s="161"/>
      <c r="F15" s="160"/>
      <c r="G15" s="160"/>
      <c r="H15" s="160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1"/>
      <c r="V15" s="162"/>
      <c r="W15" s="162"/>
      <c r="X15" s="162"/>
      <c r="Y15" s="162"/>
      <c r="Z15" s="162"/>
      <c r="AA15" s="161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Q15" s="164"/>
      <c r="AR15" s="161"/>
      <c r="AS15" s="162"/>
      <c r="AT15" s="165"/>
      <c r="AU15" s="165"/>
      <c r="AV15" s="165"/>
      <c r="AW15" s="161"/>
      <c r="AX15" s="165"/>
      <c r="AY15" s="165"/>
      <c r="AZ15" s="165"/>
      <c r="BA15" s="165"/>
      <c r="BB15" s="161"/>
      <c r="BC15" s="165"/>
      <c r="BD15" s="161"/>
      <c r="BE15" s="161"/>
      <c r="BF15" s="162"/>
      <c r="BG15" s="162"/>
      <c r="BH15" s="162"/>
      <c r="BI15" s="162"/>
      <c r="BJ15" s="161"/>
      <c r="BK15" s="166"/>
      <c r="BL15" s="162"/>
      <c r="BM15" s="146"/>
      <c r="BN15" s="146"/>
    </row>
    <row r="16" spans="1:66" ht="7.5" customHeight="1">
      <c r="B16" s="142"/>
      <c r="C16" s="142"/>
      <c r="D16" s="142"/>
      <c r="F16" s="142"/>
      <c r="G16" s="142"/>
      <c r="H16" s="142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V16" s="146"/>
      <c r="W16" s="146"/>
      <c r="X16" s="146"/>
      <c r="Y16" s="146"/>
      <c r="Z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3"/>
      <c r="AQ16" s="144"/>
      <c r="AS16" s="146"/>
      <c r="AT16" s="86"/>
      <c r="AU16" s="86"/>
      <c r="AV16" s="86"/>
      <c r="AX16" s="86"/>
      <c r="AY16" s="86"/>
      <c r="AZ16" s="86"/>
      <c r="BA16" s="86"/>
      <c r="BC16" s="86"/>
      <c r="BF16" s="146"/>
      <c r="BG16" s="146"/>
      <c r="BH16" s="146"/>
      <c r="BI16" s="146"/>
      <c r="BK16" s="89"/>
      <c r="BL16" s="146"/>
      <c r="BM16" s="146"/>
      <c r="BN16" s="146"/>
    </row>
    <row r="17" spans="2:66" ht="23.25">
      <c r="B17" s="142"/>
      <c r="C17" s="142"/>
      <c r="D17" s="142"/>
      <c r="F17" s="159" t="s">
        <v>542</v>
      </c>
      <c r="H17" s="142"/>
      <c r="V17" s="146"/>
      <c r="W17" s="146"/>
      <c r="X17" s="146"/>
      <c r="Z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3"/>
      <c r="AQ17" s="144"/>
      <c r="AS17" s="146"/>
      <c r="AT17" s="86"/>
      <c r="AU17" s="86"/>
      <c r="AV17" s="86"/>
      <c r="AX17" s="86"/>
      <c r="AY17" s="86"/>
      <c r="AZ17" s="86"/>
      <c r="BA17" s="86"/>
      <c r="BC17" s="86"/>
      <c r="BF17" s="146"/>
      <c r="BG17" s="146"/>
      <c r="BH17" s="146"/>
      <c r="BI17" s="146"/>
      <c r="BK17" s="89"/>
      <c r="BL17" s="146"/>
      <c r="BM17" s="146"/>
      <c r="BN17" s="146"/>
    </row>
    <row r="18" spans="2:66" s="146" customFormat="1">
      <c r="B18" s="142"/>
      <c r="C18" s="142"/>
      <c r="D18" s="142"/>
      <c r="E18" s="11"/>
      <c r="F18" s="142"/>
      <c r="G18" s="142"/>
      <c r="H18" s="14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43"/>
      <c r="AQ18" s="144"/>
      <c r="AR18" s="11"/>
      <c r="AS18" s="11"/>
      <c r="AT18" s="86"/>
      <c r="AU18" s="86"/>
      <c r="AV18" s="86"/>
      <c r="AW18" s="11"/>
      <c r="AX18" s="86"/>
      <c r="AY18" s="86"/>
      <c r="AZ18" s="86"/>
      <c r="BA18" s="86"/>
      <c r="BB18" s="11"/>
      <c r="BC18" s="86"/>
      <c r="BD18" s="11"/>
      <c r="BE18" s="11"/>
      <c r="BF18" s="11"/>
      <c r="BG18" s="11"/>
      <c r="BJ18" s="11"/>
      <c r="BK18" s="89"/>
      <c r="BL18" s="11"/>
      <c r="BM18" s="11"/>
      <c r="BN18" s="11"/>
    </row>
    <row r="19" spans="2:66">
      <c r="B19" s="142"/>
      <c r="C19" s="142"/>
      <c r="D19" s="142"/>
      <c r="F19" s="30" t="s">
        <v>543</v>
      </c>
      <c r="G19" s="32" t="s">
        <v>699</v>
      </c>
      <c r="H19" s="32" t="s">
        <v>544</v>
      </c>
      <c r="AP19" s="143"/>
      <c r="AQ19" s="144"/>
      <c r="AT19" s="86"/>
      <c r="AU19" s="86"/>
      <c r="AV19" s="86"/>
      <c r="AX19" s="86"/>
      <c r="AY19" s="86"/>
      <c r="AZ19" s="86"/>
      <c r="BA19" s="86"/>
      <c r="BC19" s="86"/>
      <c r="BH19" s="146"/>
      <c r="BI19" s="146"/>
      <c r="BK19" s="89"/>
    </row>
    <row r="20" spans="2:66">
      <c r="B20" s="154"/>
      <c r="C20" s="151"/>
      <c r="D20" s="151"/>
      <c r="E20" s="152"/>
      <c r="F20" s="156"/>
      <c r="G20" s="157"/>
      <c r="H20" s="153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V20" s="146"/>
      <c r="W20" s="146"/>
      <c r="X20" s="146"/>
      <c r="Y20" s="146"/>
      <c r="Z20" s="146"/>
      <c r="AE20" s="146"/>
      <c r="AF20" s="146"/>
      <c r="AG20" s="146"/>
      <c r="AH20" s="146"/>
      <c r="AI20" s="146"/>
      <c r="AJ20" s="146"/>
      <c r="AM20" s="146"/>
      <c r="AN20" s="146"/>
      <c r="AO20" s="146"/>
      <c r="AP20" s="143"/>
      <c r="AQ20" s="144"/>
      <c r="AS20" s="146"/>
      <c r="AT20" s="86"/>
      <c r="AU20" s="86"/>
      <c r="AV20" s="86"/>
      <c r="AX20" s="86"/>
      <c r="AY20" s="86"/>
      <c r="AZ20" s="86"/>
      <c r="BA20" s="86"/>
      <c r="BC20" s="86"/>
      <c r="BF20" s="146"/>
      <c r="BG20" s="146"/>
      <c r="BH20" s="146"/>
      <c r="BI20" s="146"/>
      <c r="BK20" s="89"/>
      <c r="BL20" s="146"/>
      <c r="BM20" s="146"/>
      <c r="BN20" s="146"/>
    </row>
    <row r="21" spans="2:66">
      <c r="B21" s="142"/>
      <c r="C21" s="142"/>
      <c r="D21" s="142"/>
      <c r="F21" s="142"/>
      <c r="G21" s="142"/>
      <c r="H21" s="142"/>
      <c r="AQ21" s="144"/>
      <c r="AR21" s="146"/>
      <c r="BI21" s="146"/>
      <c r="BK21" s="89"/>
    </row>
    <row r="22" spans="2:66" ht="7.5" customHeight="1">
      <c r="B22" s="160"/>
      <c r="C22" s="160"/>
      <c r="D22" s="160"/>
      <c r="E22" s="161"/>
      <c r="F22" s="160"/>
      <c r="G22" s="160"/>
      <c r="H22" s="16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V22" s="146"/>
      <c r="W22" s="146"/>
      <c r="X22" s="146"/>
      <c r="Y22" s="146"/>
      <c r="Z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3"/>
      <c r="AQ22" s="144"/>
      <c r="AS22" s="146"/>
      <c r="AT22" s="86"/>
      <c r="AU22" s="86"/>
      <c r="AV22" s="86"/>
      <c r="AX22" s="86"/>
      <c r="AY22" s="86"/>
      <c r="AZ22" s="86"/>
      <c r="BA22" s="86"/>
      <c r="BC22" s="86"/>
      <c r="BF22" s="146"/>
      <c r="BG22" s="146"/>
      <c r="BH22" s="146"/>
      <c r="BI22" s="146"/>
      <c r="BK22" s="89"/>
      <c r="BL22" s="146"/>
      <c r="BM22" s="146"/>
      <c r="BN22" s="146"/>
    </row>
    <row r="23" spans="2:66" ht="7.5" customHeight="1">
      <c r="B23" s="142"/>
      <c r="C23" s="142"/>
      <c r="D23" s="142"/>
      <c r="F23" s="142"/>
      <c r="G23" s="142"/>
      <c r="H23" s="142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V23" s="146"/>
      <c r="W23" s="146"/>
      <c r="X23" s="146"/>
      <c r="Y23" s="146"/>
      <c r="Z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3"/>
      <c r="AQ23" s="144"/>
      <c r="AS23" s="146"/>
      <c r="AT23" s="86"/>
      <c r="AU23" s="86"/>
      <c r="AV23" s="86"/>
      <c r="AX23" s="86"/>
      <c r="AY23" s="86"/>
      <c r="AZ23" s="86"/>
      <c r="BA23" s="86"/>
      <c r="BC23" s="86"/>
      <c r="BF23" s="146"/>
      <c r="BG23" s="146"/>
      <c r="BH23" s="146"/>
      <c r="BI23" s="146"/>
      <c r="BK23" s="89"/>
      <c r="BL23" s="146"/>
      <c r="BM23" s="146"/>
      <c r="BN23" s="146"/>
    </row>
    <row r="24" spans="2:66" ht="23.25">
      <c r="B24" s="142"/>
      <c r="C24" s="142"/>
      <c r="D24" s="142"/>
      <c r="F24" s="173" t="s">
        <v>548</v>
      </c>
      <c r="H24" s="142"/>
      <c r="AQ24" s="144"/>
      <c r="AR24" s="146"/>
      <c r="BI24" s="146"/>
      <c r="BK24" s="89"/>
    </row>
    <row r="25" spans="2:66" ht="16.5" customHeight="1">
      <c r="B25" s="142"/>
      <c r="C25" s="142"/>
      <c r="D25" s="142"/>
      <c r="F25" s="142"/>
      <c r="G25" s="158"/>
      <c r="H25" s="142"/>
      <c r="AQ25" s="144"/>
      <c r="AR25" s="146"/>
      <c r="BI25" s="146"/>
      <c r="BK25" s="89"/>
    </row>
    <row r="26" spans="2:66" s="136" customFormat="1">
      <c r="B26" s="11"/>
      <c r="C26" s="11"/>
      <c r="D26" s="11"/>
      <c r="E26" s="11"/>
      <c r="F26" s="30" t="s">
        <v>546</v>
      </c>
      <c r="G26" s="171" t="s">
        <v>547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43"/>
      <c r="AQ26" s="144"/>
      <c r="AR26" s="146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46"/>
      <c r="BJ26" s="11"/>
      <c r="BK26" s="11"/>
      <c r="BL26" s="11"/>
      <c r="BM26" s="11"/>
      <c r="BN26" s="11"/>
    </row>
    <row r="27" spans="2:66">
      <c r="B27" s="155"/>
      <c r="C27" s="152"/>
      <c r="D27" s="152"/>
      <c r="E27" s="152"/>
      <c r="F27" s="167"/>
      <c r="G27" s="172"/>
      <c r="H27" s="170"/>
      <c r="AP27" s="143"/>
      <c r="AQ27" s="144"/>
      <c r="AR27" s="146"/>
      <c r="BI27" s="146"/>
    </row>
    <row r="28" spans="2:66">
      <c r="B28" s="168"/>
      <c r="C28" s="152"/>
      <c r="D28" s="152"/>
      <c r="E28" s="152"/>
      <c r="F28" s="167"/>
      <c r="G28" s="169"/>
      <c r="H28" s="170"/>
      <c r="AP28" s="143"/>
      <c r="AQ28" s="144"/>
      <c r="AR28" s="146"/>
      <c r="BI28" s="146"/>
    </row>
    <row r="29" spans="2:66">
      <c r="B29" s="168"/>
      <c r="C29" s="152"/>
      <c r="D29" s="152"/>
      <c r="E29" s="152"/>
      <c r="F29" s="167"/>
      <c r="G29" s="169"/>
      <c r="H29" s="170"/>
      <c r="V29" s="146"/>
      <c r="W29" s="146"/>
      <c r="X29" s="146"/>
      <c r="Z29" s="146"/>
      <c r="AB29" s="146"/>
      <c r="AC29" s="146"/>
      <c r="AE29" s="146"/>
      <c r="AF29" s="146"/>
      <c r="AH29" s="146"/>
      <c r="AI29" s="146"/>
      <c r="AJ29" s="146"/>
      <c r="AK29" s="146"/>
      <c r="AL29" s="146"/>
      <c r="AM29" s="146"/>
      <c r="AN29" s="146"/>
      <c r="AO29" s="146"/>
      <c r="AP29" s="143"/>
      <c r="AQ29" s="144"/>
      <c r="AR29" s="146"/>
      <c r="AS29" s="146"/>
      <c r="AU29" s="146"/>
      <c r="AV29" s="146"/>
      <c r="AW29" s="146"/>
      <c r="AX29" s="146"/>
      <c r="AY29" s="146"/>
      <c r="AZ29" s="146"/>
      <c r="BA29" s="146"/>
      <c r="BB29" s="146"/>
      <c r="BC29" s="146"/>
      <c r="BE29" s="146"/>
      <c r="BF29" s="146"/>
      <c r="BG29" s="146"/>
      <c r="BH29" s="146"/>
      <c r="BI29" s="146"/>
      <c r="BJ29" s="146"/>
      <c r="BK29" s="89"/>
      <c r="BL29" s="146"/>
      <c r="BM29" s="146"/>
      <c r="BN29" s="146"/>
    </row>
    <row r="30" spans="2:66" s="136" customFormat="1">
      <c r="B30" s="155"/>
      <c r="C30" s="152"/>
      <c r="D30" s="152"/>
      <c r="E30" s="152"/>
      <c r="F30" s="167"/>
      <c r="G30" s="172"/>
      <c r="H30" s="17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2:66" s="136" customFormat="1">
      <c r="B31" s="155"/>
      <c r="C31" s="151"/>
      <c r="D31" s="152"/>
      <c r="E31" s="152"/>
      <c r="F31" s="167"/>
      <c r="G31" s="172"/>
      <c r="H31" s="17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2:66" s="136" customFormat="1">
      <c r="B32" s="155"/>
      <c r="C32" s="152"/>
      <c r="D32" s="152"/>
      <c r="E32" s="152"/>
      <c r="F32" s="167"/>
      <c r="G32" s="172"/>
      <c r="H32" s="17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2:66" s="136" customFormat="1">
      <c r="B33" s="155"/>
      <c r="C33" s="152"/>
      <c r="D33" s="152"/>
      <c r="E33" s="152"/>
      <c r="F33" s="167"/>
      <c r="G33" s="172"/>
      <c r="H33" s="17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2:66" s="136" customFormat="1">
      <c r="B34" s="168"/>
      <c r="C34" s="152"/>
      <c r="D34" s="152"/>
      <c r="E34" s="152"/>
      <c r="F34" s="167"/>
      <c r="G34" s="169"/>
      <c r="H34" s="17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2:66" s="136" customFormat="1">
      <c r="B35" s="168"/>
      <c r="C35" s="152"/>
      <c r="D35" s="152"/>
      <c r="E35" s="152"/>
      <c r="F35" s="167"/>
      <c r="G35" s="169"/>
      <c r="H35" s="17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2:66" s="136" customFormat="1">
      <c r="B36" s="168"/>
      <c r="C36" s="152"/>
      <c r="D36" s="152"/>
      <c r="E36" s="152"/>
      <c r="F36" s="167"/>
      <c r="G36" s="169"/>
      <c r="H36" s="17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2:66" s="136" customFormat="1">
      <c r="B37" s="168"/>
      <c r="C37" s="152"/>
      <c r="D37" s="152"/>
      <c r="E37" s="152"/>
      <c r="F37" s="167"/>
      <c r="G37" s="169"/>
      <c r="H37" s="17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2:66" s="136" customFormat="1">
      <c r="B38" s="155"/>
      <c r="C38" s="152"/>
      <c r="D38" s="152"/>
      <c r="E38" s="152"/>
      <c r="F38" s="167"/>
      <c r="G38" s="172"/>
      <c r="H38" s="17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2:66" s="136" customFormat="1">
      <c r="B39" s="155"/>
      <c r="C39" s="152"/>
      <c r="D39" s="152"/>
      <c r="E39" s="152"/>
      <c r="F39" s="167"/>
      <c r="G39" s="172"/>
      <c r="H39" s="17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2:66" s="136" customFormat="1">
      <c r="B40" s="155"/>
      <c r="C40" s="152"/>
      <c r="D40" s="152"/>
      <c r="E40" s="152"/>
      <c r="F40" s="167"/>
      <c r="G40" s="172"/>
      <c r="H40" s="17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2:66" s="136" customFormat="1">
      <c r="B41" s="155"/>
      <c r="C41" s="152"/>
      <c r="D41" s="152"/>
      <c r="E41" s="152"/>
      <c r="F41" s="167"/>
      <c r="G41" s="172"/>
      <c r="H41" s="17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2:66" s="136" customFormat="1">
      <c r="B42" s="168"/>
      <c r="C42" s="152"/>
      <c r="D42" s="152"/>
      <c r="E42" s="152"/>
      <c r="F42" s="167"/>
      <c r="G42" s="169"/>
      <c r="H42" s="17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2:66" s="136" customFormat="1">
      <c r="B43" s="168"/>
      <c r="C43" s="152"/>
      <c r="D43" s="152"/>
      <c r="E43" s="152"/>
      <c r="F43" s="167"/>
      <c r="G43" s="169"/>
      <c r="H43" s="17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2:66" s="136" customFormat="1">
      <c r="B44" s="155"/>
      <c r="C44" s="151"/>
      <c r="D44" s="152"/>
      <c r="E44" s="152"/>
      <c r="F44" s="167"/>
      <c r="G44" s="172"/>
      <c r="H44" s="17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2:66" s="136" customFormat="1">
      <c r="B45" s="155"/>
      <c r="C45" s="151"/>
      <c r="D45" s="152"/>
      <c r="E45" s="152"/>
      <c r="F45" s="167"/>
      <c r="G45" s="172"/>
      <c r="H45" s="17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2:66" s="136" customFormat="1">
      <c r="B46" s="146"/>
      <c r="C46" s="146"/>
      <c r="D46" s="11"/>
      <c r="E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2:66" s="136" customFormat="1">
      <c r="B47" s="146"/>
      <c r="C47" s="146"/>
      <c r="D47" s="11"/>
      <c r="E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2:66" s="136" customFormat="1">
      <c r="B48" s="146"/>
      <c r="C48" s="146"/>
      <c r="D48" s="11"/>
      <c r="E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2:66" s="136" customFormat="1">
      <c r="B49" s="146"/>
      <c r="C49" s="146"/>
      <c r="D49" s="11"/>
      <c r="E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2:66" s="136" customFormat="1">
      <c r="B50" s="146"/>
      <c r="C50" s="146"/>
      <c r="D50" s="11"/>
      <c r="E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2:66" s="136" customFormat="1">
      <c r="B51" s="146"/>
      <c r="C51" s="146"/>
      <c r="D51" s="11"/>
      <c r="E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2:66" s="136" customFormat="1">
      <c r="B52" s="146"/>
      <c r="C52" s="146"/>
      <c r="D52" s="11"/>
      <c r="E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2:66" s="136" customFormat="1">
      <c r="B53" s="146"/>
      <c r="C53" s="146"/>
      <c r="D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2:66" s="136" customFormat="1">
      <c r="B54" s="146"/>
      <c r="C54" s="146"/>
      <c r="D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2:66" s="136" customFormat="1">
      <c r="B55" s="146"/>
      <c r="C55" s="146"/>
      <c r="D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2:66" s="136" customFormat="1">
      <c r="B56" s="146"/>
      <c r="C56" s="146"/>
      <c r="D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2:66" s="136" customFormat="1">
      <c r="B57" s="146"/>
      <c r="C57" s="146"/>
      <c r="D57" s="11"/>
      <c r="E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2:66" s="136" customFormat="1">
      <c r="B58" s="146"/>
      <c r="C58" s="146"/>
      <c r="D58" s="11"/>
      <c r="E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2:66" s="136" customFormat="1">
      <c r="B59" s="146"/>
      <c r="C59" s="146"/>
      <c r="D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2:66" s="136" customFormat="1">
      <c r="B60" s="146"/>
      <c r="C60" s="146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2:66" s="136" customFormat="1">
      <c r="B61" s="146"/>
      <c r="C61" s="146"/>
      <c r="D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2:66" s="136" customFormat="1">
      <c r="B62" s="146"/>
      <c r="C62" s="146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2:66" s="136" customFormat="1">
      <c r="B63" s="146"/>
      <c r="C63" s="146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2:66" s="136" customFormat="1">
      <c r="B64" s="146"/>
      <c r="C64" s="146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2:66" s="136" customFormat="1">
      <c r="B65" s="146"/>
      <c r="C65" s="146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2:66" s="136" customFormat="1">
      <c r="B66" s="146"/>
      <c r="C66" s="146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2:66" s="136" customFormat="1">
      <c r="B67" s="146"/>
      <c r="C67" s="146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2:66" s="136" customFormat="1">
      <c r="B68" s="146"/>
      <c r="C68" s="146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2:66" s="136" customFormat="1">
      <c r="B69" s="146"/>
      <c r="C69" s="146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2:66" s="136" customFormat="1">
      <c r="B70" s="146"/>
      <c r="C70" s="146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2:66" s="136" customFormat="1">
      <c r="B71" s="146"/>
      <c r="C71" s="146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2:66" s="136" customFormat="1">
      <c r="B72" s="146"/>
      <c r="C72" s="146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2:66" s="136" customFormat="1">
      <c r="B73" s="146"/>
      <c r="C73" s="146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2:66" s="136" customFormat="1">
      <c r="B74" s="146"/>
      <c r="C74" s="146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2:66" s="136" customFormat="1">
      <c r="B75" s="146"/>
      <c r="C75" s="146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2:66" s="136" customFormat="1">
      <c r="B76" s="146"/>
      <c r="C76" s="146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2:66" s="136" customFormat="1">
      <c r="B77" s="146"/>
      <c r="C77" s="146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2:66" s="136" customFormat="1">
      <c r="B78" s="146"/>
      <c r="C78" s="146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2:66" s="136" customFormat="1">
      <c r="B79" s="146"/>
      <c r="C79" s="146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2:66" s="136" customFormat="1">
      <c r="B80" s="146"/>
      <c r="C80" s="146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2:66" s="136" customFormat="1">
      <c r="B81" s="146"/>
      <c r="C81" s="146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2:66" s="136" customFormat="1">
      <c r="B82" s="146"/>
      <c r="C82" s="146"/>
      <c r="D82" s="11"/>
      <c r="E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2:66" s="136" customFormat="1">
      <c r="B83" s="146"/>
      <c r="C83" s="146"/>
      <c r="D83" s="11"/>
      <c r="E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2:66" s="136" customFormat="1">
      <c r="B84" s="146"/>
      <c r="C84" s="146"/>
      <c r="D84" s="11"/>
      <c r="E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2:66" s="136" customFormat="1">
      <c r="B85" s="146"/>
      <c r="C85" s="146"/>
      <c r="D85" s="11"/>
      <c r="E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2:66" s="136" customFormat="1">
      <c r="B86" s="146"/>
      <c r="C86" s="146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2:66" s="136" customFormat="1">
      <c r="B87" s="146"/>
      <c r="C87" s="146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2:66" s="136" customFormat="1">
      <c r="B88" s="146"/>
      <c r="C88" s="146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2:66" s="136" customFormat="1">
      <c r="B89" s="146"/>
      <c r="C89" s="146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2:66" s="136" customFormat="1">
      <c r="B90" s="146"/>
      <c r="C90" s="146"/>
      <c r="D90" s="11"/>
      <c r="E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2:66" s="136" customFormat="1">
      <c r="B91" s="146"/>
      <c r="C91" s="146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2:66" s="136" customFormat="1">
      <c r="B92" s="146"/>
      <c r="C92" s="146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2:66" s="136" customFormat="1">
      <c r="B93" s="146"/>
      <c r="C93" s="146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2:66" s="136" customFormat="1">
      <c r="B94" s="146"/>
      <c r="C94" s="146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2:66" s="136" customFormat="1">
      <c r="B95" s="146"/>
      <c r="C95" s="146"/>
      <c r="D95" s="11"/>
      <c r="E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2:66" s="136" customFormat="1">
      <c r="B96" s="146"/>
      <c r="C96" s="146"/>
      <c r="D96" s="11"/>
      <c r="E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2:66" s="136" customFormat="1">
      <c r="B97" s="146"/>
      <c r="C97" s="146"/>
      <c r="D97" s="11"/>
      <c r="E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2:66" s="136" customFormat="1">
      <c r="B98" s="146"/>
      <c r="C98" s="146"/>
      <c r="D98" s="11"/>
      <c r="E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2:66" s="136" customFormat="1">
      <c r="B99" s="146"/>
      <c r="C99" s="146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2:66" s="136" customFormat="1">
      <c r="B100" s="146"/>
      <c r="C100" s="146"/>
      <c r="D100" s="11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2:66" s="136" customFormat="1">
      <c r="B101" s="146"/>
      <c r="C101" s="146"/>
      <c r="D101" s="11"/>
      <c r="E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2:66" s="136" customFormat="1">
      <c r="B102" s="146"/>
      <c r="C102" s="146"/>
      <c r="D102" s="11"/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2:66" s="136" customFormat="1">
      <c r="B103" s="146"/>
      <c r="C103" s="146"/>
      <c r="D103" s="11"/>
      <c r="E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2:66" s="136" customFormat="1">
      <c r="B104" s="146"/>
      <c r="C104" s="146"/>
      <c r="D104" s="11"/>
      <c r="E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2:66" s="136" customFormat="1">
      <c r="B105" s="146"/>
      <c r="C105" s="146"/>
      <c r="D105" s="11"/>
      <c r="E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2:66" s="136" customFormat="1">
      <c r="B106" s="146"/>
      <c r="C106" s="146"/>
      <c r="D106" s="11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2:66" s="136" customFormat="1">
      <c r="B107" s="146"/>
      <c r="C107" s="146"/>
      <c r="D107" s="11"/>
      <c r="E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2:66" s="136" customFormat="1">
      <c r="B108" s="146"/>
      <c r="C108" s="146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2:66" s="136" customFormat="1">
      <c r="B109" s="146"/>
      <c r="C109" s="146"/>
      <c r="D109" s="11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2:66" s="136" customFormat="1">
      <c r="B110" s="146"/>
      <c r="C110" s="146"/>
      <c r="D110" s="11"/>
      <c r="E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2:66" s="136" customFormat="1">
      <c r="B111" s="146"/>
      <c r="C111" s="146"/>
      <c r="D111" s="11"/>
      <c r="E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2:66" s="136" customFormat="1">
      <c r="B112" s="146"/>
      <c r="C112" s="146"/>
      <c r="D112" s="11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2:66" s="136" customFormat="1">
      <c r="B113" s="146"/>
      <c r="C113" s="146"/>
      <c r="D113" s="11"/>
      <c r="E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2:66" s="136" customFormat="1">
      <c r="B114" s="146"/>
      <c r="C114" s="146"/>
      <c r="D114" s="11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2:66" s="136" customFormat="1">
      <c r="B115" s="146"/>
      <c r="C115" s="146"/>
      <c r="D115" s="11"/>
      <c r="E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2:66" s="136" customFormat="1">
      <c r="B116" s="146"/>
      <c r="C116" s="146"/>
      <c r="D116" s="11"/>
      <c r="E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2:66" s="136" customFormat="1">
      <c r="B117" s="146"/>
      <c r="C117" s="146"/>
      <c r="D117" s="11"/>
      <c r="E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2:66" s="136" customFormat="1">
      <c r="B118" s="146"/>
      <c r="C118" s="146"/>
      <c r="D118" s="11"/>
      <c r="E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2:66" s="136" customFormat="1">
      <c r="B119" s="146"/>
      <c r="C119" s="146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2:66" s="136" customFormat="1">
      <c r="B120" s="146"/>
      <c r="C120" s="146"/>
      <c r="D120" s="11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2:66" s="136" customFormat="1">
      <c r="B121" s="146"/>
      <c r="C121" s="146"/>
      <c r="D121" s="11"/>
      <c r="E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2:66" s="136" customFormat="1">
      <c r="B122" s="146"/>
      <c r="C122" s="146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2:66" s="136" customFormat="1">
      <c r="B123" s="146"/>
      <c r="C123" s="146"/>
      <c r="D123" s="11"/>
      <c r="E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2:66" s="136" customFormat="1">
      <c r="B124" s="146"/>
      <c r="C124" s="146"/>
      <c r="D124" s="11"/>
      <c r="E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2:66" s="136" customFormat="1">
      <c r="B125" s="146"/>
      <c r="C125" s="146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2:66" s="136" customFormat="1">
      <c r="B126" s="146"/>
      <c r="C126" s="146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2:66" s="136" customFormat="1">
      <c r="B127" s="146"/>
      <c r="C127" s="146"/>
      <c r="D127" s="11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2:66" s="136" customFormat="1">
      <c r="B128" s="146"/>
      <c r="C128" s="146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2:66" s="136" customFormat="1">
      <c r="B129" s="146"/>
      <c r="C129" s="146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2:66" s="136" customFormat="1">
      <c r="B130" s="146"/>
      <c r="C130" s="146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2:66" s="136" customFormat="1">
      <c r="B131" s="146"/>
      <c r="C131" s="146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2:66" s="136" customFormat="1">
      <c r="B132" s="146"/>
      <c r="C132" s="146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2:66" s="136" customFormat="1">
      <c r="B133" s="146"/>
      <c r="C133" s="146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2:66" s="136" customFormat="1">
      <c r="B134" s="146"/>
      <c r="C134" s="146"/>
      <c r="D134" s="11"/>
      <c r="E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2:66" s="136" customFormat="1">
      <c r="B135" s="146"/>
      <c r="C135" s="146"/>
      <c r="D135" s="11"/>
      <c r="E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2:66" s="136" customFormat="1">
      <c r="B136" s="146"/>
      <c r="C136" s="146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2:66" s="136" customFormat="1">
      <c r="B137" s="146"/>
      <c r="C137" s="146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2:66" s="136" customFormat="1">
      <c r="B138" s="146"/>
      <c r="C138" s="146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2:66" s="136" customFormat="1">
      <c r="B139" s="146"/>
      <c r="C139" s="146"/>
      <c r="D139" s="11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2:66" s="136" customFormat="1">
      <c r="B140" s="146"/>
      <c r="C140" s="146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2:66" s="136" customFormat="1">
      <c r="B141" s="146"/>
      <c r="C141" s="146"/>
      <c r="D141" s="11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2:66" s="136" customFormat="1">
      <c r="B142" s="146"/>
      <c r="C142" s="146"/>
      <c r="D142" s="11"/>
      <c r="E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2:66" s="136" customFormat="1">
      <c r="B143" s="146"/>
      <c r="C143" s="146"/>
      <c r="D143" s="11"/>
      <c r="E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2:66" s="136" customFormat="1">
      <c r="B144" s="146"/>
      <c r="C144" s="146"/>
      <c r="D144" s="11"/>
      <c r="E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2:66" s="136" customFormat="1">
      <c r="B145" s="146"/>
      <c r="C145" s="146"/>
      <c r="D145" s="11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2:66" s="136" customFormat="1">
      <c r="B146" s="146"/>
      <c r="C146" s="146"/>
      <c r="D146" s="11"/>
      <c r="E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2:66" s="136" customFormat="1">
      <c r="B147" s="146"/>
      <c r="C147" s="146"/>
      <c r="D147" s="11"/>
      <c r="E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2:66" s="136" customFormat="1">
      <c r="B148" s="146"/>
      <c r="C148" s="146"/>
      <c r="D148" s="11"/>
      <c r="E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</sheetData>
  <mergeCells count="9">
    <mergeCell ref="BD4:BK4"/>
    <mergeCell ref="AT6:AX6"/>
    <mergeCell ref="AT10:AX10"/>
    <mergeCell ref="AT11:AX11"/>
    <mergeCell ref="AT12:AX12"/>
    <mergeCell ref="AR4:AS4"/>
    <mergeCell ref="AT4:AX4"/>
    <mergeCell ref="AT9:AX9"/>
    <mergeCell ref="AY4:BC4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N148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.7109375" style="11" customWidth="1"/>
    <col min="5" max="5" width="11.140625" style="11" customWidth="1"/>
    <col min="6" max="6" width="53.85546875" style="136" customWidth="1"/>
    <col min="7" max="7" width="22.7109375" style="11" customWidth="1"/>
    <col min="8" max="8" width="15.7109375" style="11" customWidth="1"/>
    <col min="9" max="9" width="14.7109375" style="11" customWidth="1"/>
    <col min="10" max="10" width="12.5703125" style="11" customWidth="1"/>
    <col min="11" max="11" width="13.42578125" style="11" customWidth="1"/>
    <col min="12" max="12" width="13.140625" style="11" customWidth="1"/>
    <col min="13" max="13" width="13.42578125" style="11" customWidth="1"/>
    <col min="14" max="14" width="13.28515625" style="11" customWidth="1"/>
    <col min="15" max="15" width="13.42578125" style="11" customWidth="1"/>
    <col min="16" max="16" width="10.7109375" style="11" customWidth="1"/>
    <col min="17" max="17" width="13.42578125" style="11" hidden="1" customWidth="1"/>
    <col min="18" max="18" width="9.7109375" style="11" hidden="1" customWidth="1"/>
    <col min="19" max="19" width="13.140625" style="11" hidden="1" customWidth="1"/>
    <col min="20" max="20" width="12.140625" style="11" hidden="1" customWidth="1"/>
    <col min="21" max="21" width="11.42578125" style="11" customWidth="1"/>
    <col min="22" max="22" width="6.140625" style="11" customWidth="1"/>
    <col min="23" max="23" width="9.7109375" style="11" customWidth="1"/>
    <col min="24" max="24" width="7.140625" style="11" customWidth="1"/>
    <col min="25" max="25" width="11.28515625" style="11" customWidth="1"/>
    <col min="26" max="26" width="9.42578125" style="11" customWidth="1"/>
    <col min="27" max="27" width="10.5703125" style="11" customWidth="1"/>
    <col min="28" max="29" width="8.42578125" style="11" customWidth="1"/>
    <col min="30" max="30" width="12.5703125" style="11" customWidth="1"/>
    <col min="31" max="31" width="7.7109375" style="11" customWidth="1"/>
    <col min="32" max="32" width="10.28515625" style="11" customWidth="1"/>
    <col min="33" max="33" width="15.5703125" style="11" customWidth="1"/>
    <col min="34" max="34" width="7.7109375" style="11" customWidth="1"/>
    <col min="35" max="35" width="10.5703125" style="11" customWidth="1"/>
    <col min="36" max="36" width="6.140625" style="11" customWidth="1"/>
    <col min="37" max="38" width="9.28515625" style="11" customWidth="1"/>
    <col min="39" max="39" width="14.140625" style="11" customWidth="1"/>
    <col min="40" max="40" width="11" style="11" customWidth="1"/>
    <col min="41" max="41" width="9.140625" style="11" bestFit="1" customWidth="1"/>
    <col min="42" max="42" width="13" style="11" customWidth="1"/>
    <col min="43" max="43" width="9.140625" style="11" customWidth="1"/>
    <col min="44" max="44" width="14.85546875" style="11" customWidth="1"/>
    <col min="45" max="45" width="17.140625" style="11" customWidth="1"/>
    <col min="46" max="46" width="7" style="11" bestFit="1" customWidth="1"/>
    <col min="47" max="47" width="17.85546875" style="11" customWidth="1"/>
    <col min="48" max="48" width="6.85546875" style="11" bestFit="1" customWidth="1"/>
    <col min="49" max="49" width="6.7109375" style="11" customWidth="1"/>
    <col min="50" max="50" width="7.5703125" style="11" bestFit="1" customWidth="1"/>
    <col min="51" max="51" width="7" style="11" bestFit="1" customWidth="1"/>
    <col min="52" max="52" width="20.140625" style="11" bestFit="1" customWidth="1"/>
    <col min="53" max="53" width="6.85546875" style="11" bestFit="1" customWidth="1"/>
    <col min="54" max="54" width="5.5703125" style="11" bestFit="1" customWidth="1"/>
    <col min="55" max="55" width="7.5703125" style="11" bestFit="1" customWidth="1"/>
    <col min="56" max="56" width="17.85546875" style="11" customWidth="1"/>
    <col min="57" max="57" width="10.42578125" style="11" bestFit="1" customWidth="1"/>
    <col min="58" max="58" width="12" style="11" bestFit="1" customWidth="1"/>
    <col min="59" max="60" width="14.42578125" style="11" bestFit="1" customWidth="1"/>
    <col min="61" max="61" width="13.28515625" style="11" bestFit="1" customWidth="1"/>
    <col min="62" max="62" width="16.28515625" style="11" bestFit="1" customWidth="1"/>
    <col min="63" max="63" width="22.28515625" style="11" customWidth="1"/>
    <col min="64" max="64" width="12.140625" style="11" hidden="1" customWidth="1"/>
    <col min="65" max="65" width="15.42578125" style="11" hidden="1" customWidth="1"/>
    <col min="66" max="66" width="12.42578125" style="11" hidden="1" customWidth="1"/>
    <col min="67" max="16384" width="9.140625" style="11"/>
  </cols>
  <sheetData>
    <row r="2" spans="1:66" ht="23.25">
      <c r="F2" s="9" t="s">
        <v>578</v>
      </c>
      <c r="H2" s="9"/>
      <c r="I2" s="10"/>
    </row>
    <row r="3" spans="1:66" ht="20.25">
      <c r="F3" s="242">
        <v>41713</v>
      </c>
    </row>
    <row r="4" spans="1:66" ht="15.75">
      <c r="D4" s="137" t="s">
        <v>17</v>
      </c>
      <c r="E4" s="137"/>
      <c r="I4" s="16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Y4" s="18" t="s">
        <v>16</v>
      </c>
      <c r="Z4" s="18"/>
      <c r="AA4" s="17"/>
      <c r="AB4" s="17"/>
      <c r="AC4" s="19"/>
      <c r="AD4" s="19"/>
      <c r="AE4" s="19"/>
      <c r="AF4" s="19"/>
      <c r="AG4" s="19"/>
      <c r="AH4" s="19"/>
      <c r="AI4" s="19"/>
      <c r="AJ4" s="19"/>
      <c r="AP4" s="221" t="s">
        <v>703</v>
      </c>
      <c r="AQ4" s="221"/>
      <c r="AR4" s="392" t="s">
        <v>19</v>
      </c>
      <c r="AS4" s="392"/>
      <c r="AT4" s="393" t="s">
        <v>22</v>
      </c>
      <c r="AU4" s="393"/>
      <c r="AV4" s="393"/>
      <c r="AW4" s="393"/>
      <c r="AX4" s="393"/>
      <c r="AY4" s="398" t="s">
        <v>28</v>
      </c>
      <c r="AZ4" s="398"/>
      <c r="BA4" s="398"/>
      <c r="BB4" s="398"/>
      <c r="BC4" s="398"/>
      <c r="BD4" s="389" t="s">
        <v>34</v>
      </c>
      <c r="BE4" s="389"/>
      <c r="BF4" s="389"/>
      <c r="BG4" s="389"/>
      <c r="BH4" s="389"/>
      <c r="BI4" s="389"/>
      <c r="BJ4" s="389"/>
      <c r="BK4" s="389"/>
    </row>
    <row r="5" spans="1:66" ht="30">
      <c r="B5" s="139" t="s">
        <v>0</v>
      </c>
      <c r="C5" s="150" t="s">
        <v>658</v>
      </c>
      <c r="D5" s="139" t="s">
        <v>2</v>
      </c>
      <c r="E5" s="30" t="s">
        <v>56</v>
      </c>
      <c r="F5" s="30" t="s">
        <v>1</v>
      </c>
      <c r="G5" s="31" t="s">
        <v>3</v>
      </c>
      <c r="H5" s="31" t="s">
        <v>7</v>
      </c>
      <c r="I5" s="31" t="s">
        <v>4</v>
      </c>
      <c r="J5" s="31" t="s">
        <v>6</v>
      </c>
      <c r="K5" s="31" t="s">
        <v>5</v>
      </c>
      <c r="L5" s="31" t="s">
        <v>57</v>
      </c>
      <c r="M5" s="31" t="s">
        <v>54</v>
      </c>
      <c r="N5" s="31" t="s">
        <v>58</v>
      </c>
      <c r="O5" s="31" t="s">
        <v>59</v>
      </c>
      <c r="P5" s="31" t="s">
        <v>60</v>
      </c>
      <c r="Q5" s="31" t="s">
        <v>61</v>
      </c>
      <c r="R5" s="31" t="s">
        <v>62</v>
      </c>
      <c r="S5" s="31" t="s">
        <v>565</v>
      </c>
      <c r="T5" s="31" t="s">
        <v>62</v>
      </c>
      <c r="U5" s="32" t="s">
        <v>8</v>
      </c>
      <c r="V5" s="32" t="s">
        <v>47</v>
      </c>
      <c r="W5" s="32" t="s">
        <v>9</v>
      </c>
      <c r="X5" s="32" t="s">
        <v>36</v>
      </c>
      <c r="Y5" s="32" t="s">
        <v>10</v>
      </c>
      <c r="Z5" s="32" t="s">
        <v>48</v>
      </c>
      <c r="AA5" s="32" t="s">
        <v>11</v>
      </c>
      <c r="AB5" s="32" t="s">
        <v>53</v>
      </c>
      <c r="AC5" s="32" t="s">
        <v>12</v>
      </c>
      <c r="AD5" s="32" t="s">
        <v>52</v>
      </c>
      <c r="AE5" s="32" t="s">
        <v>49</v>
      </c>
      <c r="AF5" s="32" t="s">
        <v>14</v>
      </c>
      <c r="AG5" s="32" t="s">
        <v>37</v>
      </c>
      <c r="AH5" s="32" t="s">
        <v>50</v>
      </c>
      <c r="AI5" s="32" t="s">
        <v>51</v>
      </c>
      <c r="AJ5" s="32" t="s">
        <v>46</v>
      </c>
      <c r="AK5" s="32" t="s">
        <v>38</v>
      </c>
      <c r="AL5" s="32" t="s">
        <v>738</v>
      </c>
      <c r="AM5" s="32" t="s">
        <v>39</v>
      </c>
      <c r="AN5" s="32" t="s">
        <v>40</v>
      </c>
      <c r="AO5" s="32" t="s">
        <v>13</v>
      </c>
      <c r="AP5" s="140" t="s">
        <v>20</v>
      </c>
      <c r="AQ5" s="141" t="s">
        <v>21</v>
      </c>
      <c r="AR5" s="33" t="s">
        <v>18</v>
      </c>
      <c r="AS5" s="33" t="s">
        <v>55</v>
      </c>
      <c r="AT5" s="35" t="s">
        <v>23</v>
      </c>
      <c r="AU5" s="35" t="s">
        <v>24</v>
      </c>
      <c r="AV5" s="35" t="s">
        <v>25</v>
      </c>
      <c r="AW5" s="35" t="s">
        <v>26</v>
      </c>
      <c r="AX5" s="35" t="s">
        <v>27</v>
      </c>
      <c r="AY5" s="36" t="s">
        <v>23</v>
      </c>
      <c r="AZ5" s="36" t="s">
        <v>24</v>
      </c>
      <c r="BA5" s="36" t="s">
        <v>25</v>
      </c>
      <c r="BB5" s="36" t="s">
        <v>26</v>
      </c>
      <c r="BC5" s="36" t="s">
        <v>27</v>
      </c>
      <c r="BD5" s="37" t="s">
        <v>45</v>
      </c>
      <c r="BE5" s="38" t="s">
        <v>29</v>
      </c>
      <c r="BF5" s="38" t="s">
        <v>30</v>
      </c>
      <c r="BG5" s="38" t="s">
        <v>31</v>
      </c>
      <c r="BH5" s="38" t="s">
        <v>32</v>
      </c>
      <c r="BI5" s="38" t="s">
        <v>33</v>
      </c>
      <c r="BJ5" s="38" t="s">
        <v>35</v>
      </c>
      <c r="BK5" s="38" t="s">
        <v>44</v>
      </c>
      <c r="BL5" s="38" t="s">
        <v>41</v>
      </c>
      <c r="BM5" s="38" t="s">
        <v>42</v>
      </c>
      <c r="BN5" s="38" t="s">
        <v>43</v>
      </c>
    </row>
    <row r="6" spans="1:66">
      <c r="A6" s="244"/>
      <c r="B6" s="193" t="s">
        <v>990</v>
      </c>
      <c r="C6" s="215" t="s">
        <v>582</v>
      </c>
      <c r="D6" s="247" t="s">
        <v>989</v>
      </c>
      <c r="E6" s="174" t="s">
        <v>85</v>
      </c>
      <c r="F6" s="246" t="s">
        <v>997</v>
      </c>
      <c r="G6" s="174" t="s">
        <v>282</v>
      </c>
      <c r="H6" s="246">
        <v>20958479</v>
      </c>
      <c r="I6" s="249" t="s">
        <v>1007</v>
      </c>
      <c r="J6" s="185" t="s">
        <v>1008</v>
      </c>
      <c r="K6" s="182"/>
      <c r="L6" s="184"/>
      <c r="M6" s="197"/>
      <c r="N6" s="197"/>
      <c r="O6" s="197"/>
      <c r="P6" s="197"/>
      <c r="Q6" s="197"/>
      <c r="R6" s="197"/>
      <c r="S6" s="197"/>
      <c r="T6" s="197"/>
      <c r="U6" s="217"/>
      <c r="V6" s="217"/>
      <c r="W6" s="181"/>
      <c r="X6" s="217"/>
      <c r="Y6" s="219"/>
      <c r="Z6" s="217"/>
      <c r="AA6" s="219"/>
      <c r="AB6" s="185" t="s">
        <v>1009</v>
      </c>
      <c r="AC6" s="215"/>
      <c r="AD6" s="215"/>
      <c r="AE6" s="215"/>
      <c r="AF6" s="215"/>
      <c r="AG6" s="215"/>
      <c r="AH6" s="215"/>
      <c r="AI6" s="215"/>
      <c r="AJ6" s="174"/>
      <c r="AK6" s="245" t="s">
        <v>1000</v>
      </c>
      <c r="AL6" s="245"/>
      <c r="AM6" s="245" t="s">
        <v>1001</v>
      </c>
      <c r="AN6" s="245" t="s">
        <v>1002</v>
      </c>
      <c r="AO6" s="215" t="s">
        <v>1003</v>
      </c>
      <c r="AP6" s="258">
        <v>24.28</v>
      </c>
      <c r="AQ6" s="175">
        <f t="shared" ref="AQ6:AQ12" si="0">AP6/0.444</f>
        <v>54.684684684684683</v>
      </c>
      <c r="AR6" s="188" t="s">
        <v>993</v>
      </c>
      <c r="AS6" s="188" t="s">
        <v>994</v>
      </c>
      <c r="AT6" s="404" t="s">
        <v>720</v>
      </c>
      <c r="AU6" s="404"/>
      <c r="AV6" s="404"/>
      <c r="AW6" s="404"/>
      <c r="AX6" s="404"/>
      <c r="AY6" s="237">
        <v>9.68</v>
      </c>
      <c r="AZ6" s="237">
        <v>7.93</v>
      </c>
      <c r="BA6" s="237">
        <v>5.75</v>
      </c>
      <c r="BB6" s="191">
        <f t="shared" ref="BB6:BB13" si="1">(BA6*AZ6*AY6)/1728</f>
        <v>0.25543043981481478</v>
      </c>
      <c r="BC6" s="237">
        <v>4.1500000000000004</v>
      </c>
      <c r="BD6" s="215" t="s">
        <v>68</v>
      </c>
      <c r="BE6" s="193">
        <v>6</v>
      </c>
      <c r="BF6" s="193">
        <v>24</v>
      </c>
      <c r="BG6" s="193">
        <v>7</v>
      </c>
      <c r="BH6" s="194">
        <f t="shared" ref="BH6:BH13" si="2">BE6*BF6*BG6</f>
        <v>1008</v>
      </c>
      <c r="BI6" s="194">
        <f t="shared" ref="BI6:BI13" si="3">(BC6*BF6*BG6)+50</f>
        <v>747.2</v>
      </c>
      <c r="BJ6" s="194" t="s">
        <v>240</v>
      </c>
      <c r="BK6" s="194" t="s">
        <v>107</v>
      </c>
      <c r="BL6" s="199"/>
      <c r="BM6" s="38"/>
      <c r="BN6" s="38"/>
    </row>
    <row r="7" spans="1:66">
      <c r="A7" s="244">
        <v>41699</v>
      </c>
      <c r="B7" s="215" t="s">
        <v>992</v>
      </c>
      <c r="C7" s="193" t="s">
        <v>582</v>
      </c>
      <c r="D7" s="247" t="s">
        <v>991</v>
      </c>
      <c r="E7" s="246" t="s">
        <v>304</v>
      </c>
      <c r="F7" s="246" t="s">
        <v>998</v>
      </c>
      <c r="G7" s="215" t="s">
        <v>282</v>
      </c>
      <c r="H7" s="215">
        <v>96985730</v>
      </c>
      <c r="I7" s="249"/>
      <c r="J7" s="182"/>
      <c r="K7" s="182"/>
      <c r="L7" s="184"/>
      <c r="M7" s="197"/>
      <c r="N7" s="197"/>
      <c r="O7" s="197"/>
      <c r="P7" s="197"/>
      <c r="Q7" s="197"/>
      <c r="R7" s="197"/>
      <c r="S7" s="197"/>
      <c r="T7" s="197"/>
      <c r="U7" s="217"/>
      <c r="V7" s="217"/>
      <c r="W7" s="181"/>
      <c r="X7" s="217"/>
      <c r="Y7" s="219"/>
      <c r="Z7" s="217"/>
      <c r="AA7" s="219"/>
      <c r="AB7" s="248" t="s">
        <v>999</v>
      </c>
      <c r="AC7" s="215"/>
      <c r="AD7" s="215"/>
      <c r="AE7" s="215"/>
      <c r="AF7" s="215"/>
      <c r="AG7" s="215"/>
      <c r="AH7" s="215"/>
      <c r="AI7" s="215"/>
      <c r="AJ7" s="174"/>
      <c r="AK7" s="245" t="s">
        <v>1004</v>
      </c>
      <c r="AL7" s="245"/>
      <c r="AM7" s="245" t="s">
        <v>1005</v>
      </c>
      <c r="AN7" s="245" t="s">
        <v>1006</v>
      </c>
      <c r="AO7" s="215"/>
      <c r="AP7" s="258">
        <v>10.89</v>
      </c>
      <c r="AQ7" s="175">
        <f t="shared" si="0"/>
        <v>24.527027027027028</v>
      </c>
      <c r="AR7" s="188" t="s">
        <v>995</v>
      </c>
      <c r="AS7" s="188" t="s">
        <v>996</v>
      </c>
      <c r="AT7" s="237">
        <v>2.786</v>
      </c>
      <c r="AU7" s="237">
        <v>2.786</v>
      </c>
      <c r="AV7" s="237">
        <v>2.7589999999999999</v>
      </c>
      <c r="AW7" s="191">
        <f>(AV7*AU7*AT7)/1728</f>
        <v>1.2392821275462963E-2</v>
      </c>
      <c r="AX7" s="212">
        <v>0.5</v>
      </c>
      <c r="AY7" s="212">
        <v>6.3620000000000001</v>
      </c>
      <c r="AZ7" s="212">
        <v>3.056</v>
      </c>
      <c r="BA7" s="212">
        <v>8.8059999999999992</v>
      </c>
      <c r="BB7" s="191">
        <f t="shared" si="1"/>
        <v>9.9079078259259268E-2</v>
      </c>
      <c r="BC7" s="237">
        <f>AX7*BE7+0.25</f>
        <v>3.25</v>
      </c>
      <c r="BD7" s="215" t="s">
        <v>68</v>
      </c>
      <c r="BE7" s="215">
        <v>6</v>
      </c>
      <c r="BF7" s="193">
        <v>32</v>
      </c>
      <c r="BG7" s="193">
        <v>12</v>
      </c>
      <c r="BH7" s="194">
        <f t="shared" si="2"/>
        <v>2304</v>
      </c>
      <c r="BI7" s="194">
        <f t="shared" si="3"/>
        <v>1298</v>
      </c>
      <c r="BJ7" s="194" t="s">
        <v>65</v>
      </c>
      <c r="BK7" s="194" t="s">
        <v>107</v>
      </c>
      <c r="BL7" s="199"/>
      <c r="BM7" s="38"/>
      <c r="BN7" s="38"/>
    </row>
    <row r="8" spans="1:66">
      <c r="A8" s="244"/>
      <c r="B8" s="209" t="s">
        <v>1024</v>
      </c>
      <c r="C8" s="215" t="s">
        <v>582</v>
      </c>
      <c r="D8" s="254" t="s">
        <v>1025</v>
      </c>
      <c r="E8" s="246" t="s">
        <v>85</v>
      </c>
      <c r="F8" s="246" t="s">
        <v>1070</v>
      </c>
      <c r="G8" s="209" t="s">
        <v>1068</v>
      </c>
      <c r="H8" s="209" t="s">
        <v>1069</v>
      </c>
      <c r="I8" s="209" t="s">
        <v>1068</v>
      </c>
      <c r="J8" s="209" t="s">
        <v>1071</v>
      </c>
      <c r="K8" s="182"/>
      <c r="L8" s="184"/>
      <c r="M8" s="197"/>
      <c r="N8" s="197"/>
      <c r="O8" s="197"/>
      <c r="P8" s="197"/>
      <c r="Q8" s="197"/>
      <c r="R8" s="197"/>
      <c r="S8" s="197"/>
      <c r="T8" s="197"/>
      <c r="U8" s="217"/>
      <c r="V8" s="217"/>
      <c r="W8" s="181">
        <v>89756</v>
      </c>
      <c r="X8" s="217"/>
      <c r="Y8" s="219"/>
      <c r="Z8" s="217"/>
      <c r="AA8" s="219"/>
      <c r="AB8" s="250" t="s">
        <v>1061</v>
      </c>
      <c r="AC8" s="209" t="s">
        <v>1062</v>
      </c>
      <c r="AD8" s="209" t="s">
        <v>1063</v>
      </c>
      <c r="AE8" s="215"/>
      <c r="AF8" s="215"/>
      <c r="AG8" s="209" t="s">
        <v>1064</v>
      </c>
      <c r="AH8" s="215"/>
      <c r="AI8" s="215"/>
      <c r="AJ8" s="174">
        <v>4756</v>
      </c>
      <c r="AK8" s="251" t="s">
        <v>1065</v>
      </c>
      <c r="AL8" s="245"/>
      <c r="AM8" s="251" t="s">
        <v>1066</v>
      </c>
      <c r="AN8" s="251" t="s">
        <v>1067</v>
      </c>
      <c r="AO8" s="215">
        <v>24756</v>
      </c>
      <c r="AP8" s="258">
        <v>36.049999999999997</v>
      </c>
      <c r="AQ8" s="175">
        <f t="shared" si="0"/>
        <v>81.193693693693689</v>
      </c>
      <c r="AR8" s="188" t="s">
        <v>1033</v>
      </c>
      <c r="AS8" s="188" t="s">
        <v>1034</v>
      </c>
      <c r="AT8" s="404" t="s">
        <v>720</v>
      </c>
      <c r="AU8" s="404"/>
      <c r="AV8" s="404"/>
      <c r="AW8" s="404"/>
      <c r="AX8" s="404"/>
      <c r="AY8" s="212">
        <v>18.25</v>
      </c>
      <c r="AZ8" s="212">
        <v>10.25</v>
      </c>
      <c r="BA8" s="212">
        <v>9.75</v>
      </c>
      <c r="BB8" s="191">
        <f t="shared" si="1"/>
        <v>1.0554741753472223</v>
      </c>
      <c r="BC8" s="212">
        <f>0.56*BE8+0.25</f>
        <v>3.6100000000000003</v>
      </c>
      <c r="BD8" s="215" t="s">
        <v>68</v>
      </c>
      <c r="BE8" s="215">
        <v>6</v>
      </c>
      <c r="BF8" s="215">
        <v>9</v>
      </c>
      <c r="BG8" s="215">
        <v>4</v>
      </c>
      <c r="BH8" s="194">
        <f t="shared" si="2"/>
        <v>216</v>
      </c>
      <c r="BI8" s="194">
        <f t="shared" si="3"/>
        <v>179.96</v>
      </c>
      <c r="BJ8" s="194" t="s">
        <v>240</v>
      </c>
      <c r="BK8" s="194" t="s">
        <v>107</v>
      </c>
      <c r="BL8" s="38"/>
      <c r="BM8" s="38"/>
      <c r="BN8" s="38"/>
    </row>
    <row r="9" spans="1:66" ht="30">
      <c r="A9" s="244"/>
      <c r="B9" s="215" t="s">
        <v>1026</v>
      </c>
      <c r="C9" s="215" t="s">
        <v>541</v>
      </c>
      <c r="D9" s="254" t="s">
        <v>1027</v>
      </c>
      <c r="E9" s="246" t="s">
        <v>172</v>
      </c>
      <c r="F9" s="246" t="s">
        <v>1050</v>
      </c>
      <c r="G9" s="209" t="s">
        <v>306</v>
      </c>
      <c r="H9" s="209" t="s">
        <v>1045</v>
      </c>
      <c r="I9" s="209" t="s">
        <v>306</v>
      </c>
      <c r="J9" s="209" t="s">
        <v>1046</v>
      </c>
      <c r="K9" s="209" t="s">
        <v>306</v>
      </c>
      <c r="L9" s="209" t="s">
        <v>1047</v>
      </c>
      <c r="M9" s="209" t="s">
        <v>306</v>
      </c>
      <c r="N9" s="209" t="s">
        <v>1048</v>
      </c>
      <c r="O9" s="209" t="s">
        <v>82</v>
      </c>
      <c r="P9" s="209" t="s">
        <v>1051</v>
      </c>
      <c r="Q9" s="197"/>
      <c r="R9" s="197"/>
      <c r="S9" s="197"/>
      <c r="T9" s="197"/>
      <c r="U9" s="217" t="s">
        <v>1049</v>
      </c>
      <c r="V9" s="217"/>
      <c r="W9" s="181"/>
      <c r="X9" s="217"/>
      <c r="Y9" s="219"/>
      <c r="Z9" s="217"/>
      <c r="AA9" s="219"/>
      <c r="AB9" s="248"/>
      <c r="AC9" s="215"/>
      <c r="AD9" s="215"/>
      <c r="AE9" s="215"/>
      <c r="AF9" s="215"/>
      <c r="AG9" s="215"/>
      <c r="AH9" s="215"/>
      <c r="AI9" s="215"/>
      <c r="AJ9" s="174"/>
      <c r="AK9" s="245"/>
      <c r="AL9" s="245"/>
      <c r="AM9" s="245"/>
      <c r="AN9" s="245"/>
      <c r="AO9" s="215"/>
      <c r="AP9" s="258">
        <v>170.86</v>
      </c>
      <c r="AQ9" s="175">
        <f t="shared" si="0"/>
        <v>384.81981981981983</v>
      </c>
      <c r="AR9" s="188" t="s">
        <v>1035</v>
      </c>
      <c r="AS9" s="188" t="s">
        <v>1036</v>
      </c>
      <c r="AT9" s="212">
        <v>8.4239999999999995</v>
      </c>
      <c r="AU9" s="212">
        <v>4.5439999999999996</v>
      </c>
      <c r="AV9" s="215">
        <v>6.7779999999999996</v>
      </c>
      <c r="AW9" s="191">
        <f>(AT9*AU9*AV9)/1728</f>
        <v>0.15014625599999998</v>
      </c>
      <c r="AX9" s="212">
        <f>0.91+0.1</f>
        <v>1.01</v>
      </c>
      <c r="AY9" s="212">
        <v>17.495999999999999</v>
      </c>
      <c r="AZ9" s="212">
        <v>14.305999999999999</v>
      </c>
      <c r="BA9" s="212">
        <v>7.492</v>
      </c>
      <c r="BB9" s="191">
        <f t="shared" si="1"/>
        <v>1.0852030889999997</v>
      </c>
      <c r="BC9" s="212">
        <f>AX9*BE9+0.25</f>
        <v>6.3100000000000005</v>
      </c>
      <c r="BD9" s="215" t="s">
        <v>68</v>
      </c>
      <c r="BE9" s="215">
        <v>6</v>
      </c>
      <c r="BF9" s="215">
        <v>6</v>
      </c>
      <c r="BG9" s="215">
        <v>5</v>
      </c>
      <c r="BH9" s="194">
        <f t="shared" si="2"/>
        <v>180</v>
      </c>
      <c r="BI9" s="194">
        <f t="shared" si="3"/>
        <v>239.3</v>
      </c>
      <c r="BJ9" s="194" t="s">
        <v>65</v>
      </c>
      <c r="BK9" s="194" t="s">
        <v>107</v>
      </c>
      <c r="BL9" s="38"/>
      <c r="BM9" s="38"/>
      <c r="BN9" s="38"/>
    </row>
    <row r="10" spans="1:66" ht="30">
      <c r="A10" s="244"/>
      <c r="B10" s="193" t="s">
        <v>796</v>
      </c>
      <c r="C10" s="193" t="s">
        <v>541</v>
      </c>
      <c r="D10" s="239" t="s">
        <v>1027</v>
      </c>
      <c r="E10" s="246" t="s">
        <v>172</v>
      </c>
      <c r="F10" s="246" t="s">
        <v>1053</v>
      </c>
      <c r="G10" s="209" t="s">
        <v>1052</v>
      </c>
      <c r="H10" s="209" t="s">
        <v>906</v>
      </c>
      <c r="I10" s="249"/>
      <c r="J10" s="182"/>
      <c r="K10" s="182"/>
      <c r="L10" s="184"/>
      <c r="M10" s="197"/>
      <c r="N10" s="197"/>
      <c r="O10" s="197"/>
      <c r="P10" s="197"/>
      <c r="Q10" s="197"/>
      <c r="R10" s="197"/>
      <c r="S10" s="197"/>
      <c r="T10" s="197"/>
      <c r="U10" s="217"/>
      <c r="V10" s="217"/>
      <c r="W10" s="181"/>
      <c r="X10" s="217"/>
      <c r="Y10" s="219"/>
      <c r="Z10" s="217"/>
      <c r="AA10" s="219"/>
      <c r="AB10" s="250" t="s">
        <v>864</v>
      </c>
      <c r="AC10" s="215"/>
      <c r="AD10" s="215"/>
      <c r="AE10" s="215"/>
      <c r="AF10" s="215"/>
      <c r="AG10" s="215"/>
      <c r="AH10" s="215"/>
      <c r="AI10" s="215"/>
      <c r="AJ10" s="174"/>
      <c r="AK10" s="245"/>
      <c r="AL10" s="245"/>
      <c r="AM10" s="245"/>
      <c r="AN10" s="245"/>
      <c r="AO10" s="215"/>
      <c r="AP10" s="258">
        <v>87.38</v>
      </c>
      <c r="AQ10" s="175">
        <f t="shared" si="0"/>
        <v>196.80180180180179</v>
      </c>
      <c r="AR10" s="188" t="s">
        <v>823</v>
      </c>
      <c r="AS10" s="188" t="s">
        <v>1037</v>
      </c>
      <c r="AT10" s="237">
        <v>3.992</v>
      </c>
      <c r="AU10" s="237">
        <v>3.992</v>
      </c>
      <c r="AV10" s="193">
        <v>8.234</v>
      </c>
      <c r="AW10" s="191">
        <f>(AT10*AU10*AV10)/1728</f>
        <v>7.5936082740740748E-2</v>
      </c>
      <c r="AX10" s="237">
        <v>0.8</v>
      </c>
      <c r="AY10" s="237">
        <v>16.556000000000001</v>
      </c>
      <c r="AZ10" s="237">
        <v>12.555999999999999</v>
      </c>
      <c r="BA10" s="237">
        <v>8.8620000000000001</v>
      </c>
      <c r="BB10" s="191">
        <f t="shared" si="1"/>
        <v>1.0660921176111111</v>
      </c>
      <c r="BC10" s="212">
        <f>AX10*BE10+0.25</f>
        <v>9.8500000000000014</v>
      </c>
      <c r="BD10" s="215" t="s">
        <v>68</v>
      </c>
      <c r="BE10" s="193">
        <v>12</v>
      </c>
      <c r="BF10" s="193">
        <v>8</v>
      </c>
      <c r="BG10" s="193">
        <v>4</v>
      </c>
      <c r="BH10" s="194">
        <f t="shared" si="2"/>
        <v>384</v>
      </c>
      <c r="BI10" s="194">
        <f t="shared" si="3"/>
        <v>365.20000000000005</v>
      </c>
      <c r="BJ10" s="194" t="s">
        <v>65</v>
      </c>
      <c r="BK10" s="194" t="s">
        <v>107</v>
      </c>
      <c r="BL10" s="38"/>
      <c r="BM10" s="38"/>
      <c r="BN10" s="38"/>
    </row>
    <row r="11" spans="1:66">
      <c r="A11" s="244"/>
      <c r="B11" s="193" t="s">
        <v>1028</v>
      </c>
      <c r="C11" s="215" t="s">
        <v>582</v>
      </c>
      <c r="D11" s="239" t="s">
        <v>1025</v>
      </c>
      <c r="E11" s="246" t="s">
        <v>85</v>
      </c>
      <c r="F11" s="246" t="s">
        <v>1073</v>
      </c>
      <c r="G11" s="209" t="s">
        <v>256</v>
      </c>
      <c r="H11" s="209" t="s">
        <v>1072</v>
      </c>
      <c r="I11" s="249"/>
      <c r="J11" s="182"/>
      <c r="K11" s="182"/>
      <c r="L11" s="184"/>
      <c r="M11" s="197"/>
      <c r="N11" s="197"/>
      <c r="O11" s="197"/>
      <c r="P11" s="197"/>
      <c r="Q11" s="197"/>
      <c r="R11" s="197"/>
      <c r="S11" s="197"/>
      <c r="T11" s="197"/>
      <c r="U11" s="217"/>
      <c r="V11" s="217"/>
      <c r="W11" s="181"/>
      <c r="X11" s="217"/>
      <c r="Y11" s="219"/>
      <c r="Z11" s="217"/>
      <c r="AA11" s="219"/>
      <c r="AB11" s="250" t="s">
        <v>1074</v>
      </c>
      <c r="AC11" s="215"/>
      <c r="AD11" s="215"/>
      <c r="AE11" s="209" t="s">
        <v>1075</v>
      </c>
      <c r="AF11" s="215"/>
      <c r="AG11" s="215"/>
      <c r="AH11" s="215"/>
      <c r="AI11" s="215"/>
      <c r="AJ11" s="174"/>
      <c r="AK11" s="251" t="s">
        <v>1076</v>
      </c>
      <c r="AL11" s="251" t="s">
        <v>1078</v>
      </c>
      <c r="AM11" s="251" t="s">
        <v>1077</v>
      </c>
      <c r="AN11" s="251" t="s">
        <v>1079</v>
      </c>
      <c r="AO11" s="215">
        <v>49049</v>
      </c>
      <c r="AP11" s="258">
        <v>25.95</v>
      </c>
      <c r="AQ11" s="175">
        <f t="shared" si="0"/>
        <v>58.445945945945944</v>
      </c>
      <c r="AR11" s="188" t="s">
        <v>1038</v>
      </c>
      <c r="AS11" s="188" t="s">
        <v>1039</v>
      </c>
      <c r="AT11" s="237">
        <v>9.7859999999999996</v>
      </c>
      <c r="AU11" s="237">
        <v>2.3460000000000001</v>
      </c>
      <c r="AV11" s="193">
        <v>9.8219999999999992</v>
      </c>
      <c r="AW11" s="191">
        <f>(AT11*AU11*AV11)/1728</f>
        <v>0.13049365962499998</v>
      </c>
      <c r="AX11" s="237">
        <v>0.56000000000000005</v>
      </c>
      <c r="AY11" s="237">
        <v>10.25</v>
      </c>
      <c r="AZ11" s="237">
        <v>7.75</v>
      </c>
      <c r="BA11" s="237">
        <v>10.5</v>
      </c>
      <c r="BB11" s="191">
        <f t="shared" si="1"/>
        <v>0.4826931423611111</v>
      </c>
      <c r="BC11" s="212">
        <f>AX11*BE11+0.25</f>
        <v>1.9300000000000002</v>
      </c>
      <c r="BD11" s="215" t="s">
        <v>68</v>
      </c>
      <c r="BE11" s="193">
        <v>3</v>
      </c>
      <c r="BF11" s="193">
        <v>22</v>
      </c>
      <c r="BG11" s="193">
        <v>4</v>
      </c>
      <c r="BH11" s="194">
        <f t="shared" si="2"/>
        <v>264</v>
      </c>
      <c r="BI11" s="194">
        <f t="shared" si="3"/>
        <v>219.84</v>
      </c>
      <c r="BJ11" s="194" t="s">
        <v>65</v>
      </c>
      <c r="BK11" s="194" t="s">
        <v>107</v>
      </c>
      <c r="BL11" s="38"/>
      <c r="BM11" s="38"/>
      <c r="BN11" s="38"/>
    </row>
    <row r="12" spans="1:66">
      <c r="A12" s="244"/>
      <c r="B12" s="193" t="s">
        <v>1029</v>
      </c>
      <c r="C12" s="193" t="s">
        <v>582</v>
      </c>
      <c r="D12" s="239" t="s">
        <v>1030</v>
      </c>
      <c r="E12" s="246" t="s">
        <v>304</v>
      </c>
      <c r="F12" s="246" t="s">
        <v>1081</v>
      </c>
      <c r="G12" s="209" t="s">
        <v>933</v>
      </c>
      <c r="H12" s="209" t="s">
        <v>1080</v>
      </c>
      <c r="I12" s="249"/>
      <c r="J12" s="182"/>
      <c r="K12" s="182"/>
      <c r="L12" s="184"/>
      <c r="M12" s="197"/>
      <c r="N12" s="197"/>
      <c r="O12" s="197"/>
      <c r="P12" s="197"/>
      <c r="Q12" s="197"/>
      <c r="R12" s="197"/>
      <c r="S12" s="197"/>
      <c r="T12" s="197"/>
      <c r="U12" s="217"/>
      <c r="V12" s="217"/>
      <c r="W12" s="181"/>
      <c r="X12" s="217"/>
      <c r="Y12" s="219"/>
      <c r="Z12" s="217"/>
      <c r="AA12" s="219"/>
      <c r="AB12" s="250" t="s">
        <v>1082</v>
      </c>
      <c r="AC12" s="215"/>
      <c r="AD12" s="215"/>
      <c r="AE12" s="215"/>
      <c r="AF12" s="215"/>
      <c r="AG12" s="215"/>
      <c r="AH12" s="215"/>
      <c r="AI12" s="215"/>
      <c r="AJ12" s="174"/>
      <c r="AK12" s="245"/>
      <c r="AL12" s="251" t="s">
        <v>1084</v>
      </c>
      <c r="AM12" s="251" t="s">
        <v>1083</v>
      </c>
      <c r="AN12" s="245"/>
      <c r="AO12" s="215">
        <v>57070</v>
      </c>
      <c r="AP12" s="258">
        <v>34.99</v>
      </c>
      <c r="AQ12" s="175">
        <f t="shared" si="0"/>
        <v>78.806306306306311</v>
      </c>
      <c r="AR12" s="188" t="s">
        <v>1040</v>
      </c>
      <c r="AS12" s="188" t="s">
        <v>1041</v>
      </c>
      <c r="AT12" s="212">
        <v>3.1859999999999999</v>
      </c>
      <c r="AU12" s="212">
        <v>3.1859999999999999</v>
      </c>
      <c r="AV12" s="193">
        <v>6.0720000000000001</v>
      </c>
      <c r="AW12" s="191">
        <f>(AT12*AU12*AV12)/1728</f>
        <v>3.5668066499999998E-2</v>
      </c>
      <c r="AX12" s="212">
        <v>0.27</v>
      </c>
      <c r="AY12" s="237">
        <v>10</v>
      </c>
      <c r="AZ12" s="237">
        <v>6.75</v>
      </c>
      <c r="BA12" s="237">
        <v>6.62</v>
      </c>
      <c r="BB12" s="191">
        <f t="shared" si="1"/>
        <v>0.25859375000000001</v>
      </c>
      <c r="BC12" s="237">
        <f>AX12*BE12+0.25</f>
        <v>1.87</v>
      </c>
      <c r="BD12" s="215" t="s">
        <v>68</v>
      </c>
      <c r="BE12" s="193">
        <v>6</v>
      </c>
      <c r="BF12" s="193">
        <v>26</v>
      </c>
      <c r="BG12" s="193">
        <v>6</v>
      </c>
      <c r="BH12" s="194">
        <f t="shared" si="2"/>
        <v>936</v>
      </c>
      <c r="BI12" s="194">
        <f t="shared" si="3"/>
        <v>341.72</v>
      </c>
      <c r="BJ12" s="194" t="s">
        <v>1042</v>
      </c>
      <c r="BK12" s="194" t="s">
        <v>107</v>
      </c>
      <c r="BL12" s="38"/>
      <c r="BM12" s="38"/>
      <c r="BN12" s="38"/>
    </row>
    <row r="13" spans="1:66">
      <c r="A13" s="244"/>
      <c r="B13" s="193" t="s">
        <v>1031</v>
      </c>
      <c r="C13" s="193" t="s">
        <v>541</v>
      </c>
      <c r="D13" s="239" t="s">
        <v>1032</v>
      </c>
      <c r="E13" s="246" t="s">
        <v>587</v>
      </c>
      <c r="F13" s="246" t="s">
        <v>1056</v>
      </c>
      <c r="G13" s="152" t="s">
        <v>669</v>
      </c>
      <c r="H13" s="215">
        <v>925837</v>
      </c>
      <c r="I13" s="249" t="s">
        <v>1055</v>
      </c>
      <c r="J13" s="182">
        <v>757051</v>
      </c>
      <c r="K13" s="249" t="s">
        <v>1055</v>
      </c>
      <c r="L13" s="182">
        <v>7559101</v>
      </c>
      <c r="M13" s="182" t="s">
        <v>1059</v>
      </c>
      <c r="N13" s="209" t="s">
        <v>1060</v>
      </c>
      <c r="O13" s="209" t="s">
        <v>669</v>
      </c>
      <c r="P13" s="209">
        <v>925836</v>
      </c>
      <c r="Q13" s="197"/>
      <c r="R13" s="197"/>
      <c r="S13" s="197"/>
      <c r="T13" s="197"/>
      <c r="U13" s="217" t="s">
        <v>1054</v>
      </c>
      <c r="V13" s="217"/>
      <c r="W13" s="181">
        <v>84888</v>
      </c>
      <c r="X13" s="217"/>
      <c r="Y13" s="219" t="s">
        <v>1057</v>
      </c>
      <c r="Z13" s="217"/>
      <c r="AA13" s="219" t="s">
        <v>1058</v>
      </c>
      <c r="AB13" s="248"/>
      <c r="AC13" s="215"/>
      <c r="AD13" s="215"/>
      <c r="AE13" s="215"/>
      <c r="AF13" s="215"/>
      <c r="AG13" s="215"/>
      <c r="AH13" s="215"/>
      <c r="AI13" s="215"/>
      <c r="AJ13" s="174">
        <v>7888</v>
      </c>
      <c r="AK13" s="245"/>
      <c r="AL13" s="245"/>
      <c r="AM13" s="245"/>
      <c r="AN13" s="245"/>
      <c r="AO13" s="215">
        <v>57888</v>
      </c>
      <c r="AP13" s="259" t="s">
        <v>1229</v>
      </c>
      <c r="AQ13" s="175"/>
      <c r="AR13" s="188" t="s">
        <v>1043</v>
      </c>
      <c r="AS13" s="188" t="s">
        <v>1044</v>
      </c>
      <c r="AT13" s="404" t="s">
        <v>720</v>
      </c>
      <c r="AU13" s="404"/>
      <c r="AV13" s="404"/>
      <c r="AW13" s="404"/>
      <c r="AX13" s="404"/>
      <c r="AY13" s="237">
        <v>3.5</v>
      </c>
      <c r="AZ13" s="237">
        <v>3.5</v>
      </c>
      <c r="BA13" s="237">
        <v>10.25</v>
      </c>
      <c r="BB13" s="191">
        <f t="shared" si="1"/>
        <v>7.2663483796296294E-2</v>
      </c>
      <c r="BC13" s="237">
        <f>0.8*BE13+0.4</f>
        <v>10.000000000000002</v>
      </c>
      <c r="BD13" s="215" t="s">
        <v>68</v>
      </c>
      <c r="BE13" s="193">
        <v>12</v>
      </c>
      <c r="BF13" s="193">
        <v>9</v>
      </c>
      <c r="BG13" s="193">
        <v>4</v>
      </c>
      <c r="BH13" s="194">
        <f t="shared" si="2"/>
        <v>432</v>
      </c>
      <c r="BI13" s="194">
        <f t="shared" si="3"/>
        <v>410.00000000000006</v>
      </c>
      <c r="BJ13" s="194" t="s">
        <v>65</v>
      </c>
      <c r="BK13" s="194" t="s">
        <v>107</v>
      </c>
      <c r="BL13" s="38"/>
      <c r="BM13" s="38"/>
      <c r="BN13" s="38"/>
    </row>
    <row r="14" spans="1:66" s="146" customFormat="1">
      <c r="B14" s="142"/>
      <c r="C14" s="142"/>
      <c r="D14" s="142"/>
      <c r="E14" s="11"/>
      <c r="F14" s="142"/>
      <c r="G14" s="142"/>
      <c r="H14" s="89"/>
      <c r="I14" s="11"/>
      <c r="J14" s="11"/>
      <c r="K14" s="11"/>
      <c r="U14" s="11"/>
      <c r="AA14" s="11"/>
      <c r="AB14" s="11"/>
      <c r="AP14" s="143"/>
      <c r="AQ14" s="144"/>
      <c r="AR14" s="11"/>
      <c r="AT14" s="86"/>
      <c r="AU14" s="86"/>
      <c r="AV14" s="86"/>
      <c r="AW14" s="11"/>
      <c r="AX14" s="86"/>
      <c r="AY14" s="86"/>
      <c r="AZ14" s="86"/>
      <c r="BA14" s="86"/>
      <c r="BB14" s="11"/>
      <c r="BC14" s="86"/>
      <c r="BD14" s="11"/>
      <c r="BE14" s="11"/>
      <c r="BJ14" s="11"/>
      <c r="BK14" s="89"/>
    </row>
    <row r="15" spans="1:66" ht="7.5" customHeight="1">
      <c r="B15" s="160"/>
      <c r="C15" s="160"/>
      <c r="D15" s="160"/>
      <c r="E15" s="161"/>
      <c r="F15" s="160"/>
      <c r="G15" s="160"/>
      <c r="H15" s="160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1"/>
      <c r="V15" s="162"/>
      <c r="W15" s="162"/>
      <c r="X15" s="162"/>
      <c r="Y15" s="162"/>
      <c r="Z15" s="162"/>
      <c r="AA15" s="161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Q15" s="164"/>
      <c r="AR15" s="161"/>
      <c r="AS15" s="162"/>
      <c r="AT15" s="165"/>
      <c r="AU15" s="165"/>
      <c r="AV15" s="165"/>
      <c r="AW15" s="161"/>
      <c r="AX15" s="165"/>
      <c r="AY15" s="165"/>
      <c r="AZ15" s="165"/>
      <c r="BA15" s="165"/>
      <c r="BB15" s="161"/>
      <c r="BC15" s="165"/>
      <c r="BD15" s="161"/>
      <c r="BE15" s="161"/>
      <c r="BF15" s="162"/>
      <c r="BG15" s="162"/>
      <c r="BH15" s="162"/>
      <c r="BI15" s="162"/>
      <c r="BJ15" s="161"/>
      <c r="BK15" s="166"/>
      <c r="BL15" s="162"/>
      <c r="BM15" s="146"/>
      <c r="BN15" s="146"/>
    </row>
    <row r="16" spans="1:66" ht="7.5" customHeight="1">
      <c r="B16" s="142"/>
      <c r="C16" s="142"/>
      <c r="D16" s="142"/>
      <c r="F16" s="142"/>
      <c r="G16" s="142"/>
      <c r="H16" s="142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V16" s="146"/>
      <c r="W16" s="146"/>
      <c r="X16" s="146"/>
      <c r="Y16" s="146"/>
      <c r="Z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3"/>
      <c r="AQ16" s="144"/>
      <c r="AS16" s="146"/>
      <c r="AT16" s="86"/>
      <c r="AU16" s="86"/>
      <c r="AV16" s="86"/>
      <c r="AX16" s="86"/>
      <c r="AY16" s="86"/>
      <c r="AZ16" s="86"/>
      <c r="BA16" s="86"/>
      <c r="BC16" s="86"/>
      <c r="BF16" s="146"/>
      <c r="BG16" s="146"/>
      <c r="BH16" s="146"/>
      <c r="BI16" s="146"/>
      <c r="BK16" s="89"/>
      <c r="BL16" s="146"/>
      <c r="BM16" s="146"/>
      <c r="BN16" s="146"/>
    </row>
    <row r="17" spans="2:66" ht="23.25">
      <c r="B17" s="142"/>
      <c r="C17" s="142"/>
      <c r="D17" s="142"/>
      <c r="F17" s="159" t="s">
        <v>542</v>
      </c>
      <c r="H17" s="142"/>
      <c r="V17" s="146"/>
      <c r="W17" s="146"/>
      <c r="X17" s="146"/>
      <c r="Z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3"/>
      <c r="AQ17" s="144"/>
      <c r="AS17" s="146"/>
      <c r="AT17" s="86"/>
      <c r="AU17" s="86"/>
      <c r="AV17" s="86"/>
      <c r="AX17" s="86"/>
      <c r="AY17" s="86"/>
      <c r="AZ17" s="86"/>
      <c r="BA17" s="86"/>
      <c r="BC17" s="86"/>
      <c r="BF17" s="146"/>
      <c r="BG17" s="146"/>
      <c r="BH17" s="146"/>
      <c r="BI17" s="146"/>
      <c r="BK17" s="89"/>
      <c r="BL17" s="146"/>
      <c r="BM17" s="146"/>
      <c r="BN17" s="146"/>
    </row>
    <row r="18" spans="2:66" s="146" customFormat="1">
      <c r="B18" s="142"/>
      <c r="C18" s="142"/>
      <c r="D18" s="142"/>
      <c r="E18" s="11"/>
      <c r="F18" s="142"/>
      <c r="G18" s="142"/>
      <c r="H18" s="14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43"/>
      <c r="AQ18" s="144"/>
      <c r="AR18" s="11"/>
      <c r="AS18" s="11"/>
      <c r="AT18" s="86"/>
      <c r="AU18" s="86"/>
      <c r="AV18" s="86"/>
      <c r="AW18" s="11"/>
      <c r="AX18" s="86"/>
      <c r="AY18" s="86"/>
      <c r="AZ18" s="86"/>
      <c r="BA18" s="86"/>
      <c r="BB18" s="11"/>
      <c r="BC18" s="86"/>
      <c r="BD18" s="11"/>
      <c r="BE18" s="11"/>
      <c r="BF18" s="11"/>
      <c r="BG18" s="11"/>
      <c r="BJ18" s="11"/>
      <c r="BK18" s="89"/>
      <c r="BL18" s="11"/>
      <c r="BM18" s="11"/>
      <c r="BN18" s="11"/>
    </row>
    <row r="19" spans="2:66">
      <c r="B19" s="142"/>
      <c r="C19" s="142"/>
      <c r="D19" s="142"/>
      <c r="F19" s="30" t="s">
        <v>543</v>
      </c>
      <c r="G19" s="32" t="s">
        <v>699</v>
      </c>
      <c r="H19" s="32" t="s">
        <v>544</v>
      </c>
      <c r="AP19" s="143"/>
      <c r="AQ19" s="144"/>
      <c r="AT19" s="86"/>
      <c r="AU19" s="86"/>
      <c r="AV19" s="86"/>
      <c r="AX19" s="86"/>
      <c r="AY19" s="86"/>
      <c r="AZ19" s="86"/>
      <c r="BA19" s="86"/>
      <c r="BC19" s="86"/>
      <c r="BH19" s="146"/>
      <c r="BI19" s="146"/>
      <c r="BK19" s="89"/>
    </row>
    <row r="20" spans="2:66">
      <c r="B20" s="154"/>
      <c r="C20" s="151"/>
      <c r="D20" s="151"/>
      <c r="E20" s="152"/>
      <c r="F20" s="156"/>
      <c r="G20" s="157"/>
      <c r="H20" s="153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V20" s="146"/>
      <c r="W20" s="146"/>
      <c r="X20" s="146"/>
      <c r="Y20" s="146"/>
      <c r="Z20" s="146"/>
      <c r="AE20" s="146"/>
      <c r="AF20" s="146"/>
      <c r="AG20" s="146"/>
      <c r="AH20" s="146"/>
      <c r="AI20" s="146"/>
      <c r="AJ20" s="146"/>
      <c r="AM20" s="146"/>
      <c r="AN20" s="146"/>
      <c r="AO20" s="146"/>
      <c r="AP20" s="143"/>
      <c r="AQ20" s="144"/>
      <c r="AS20" s="146"/>
      <c r="AT20" s="86"/>
      <c r="AU20" s="86"/>
      <c r="AV20" s="86"/>
      <c r="AX20" s="86"/>
      <c r="AY20" s="86"/>
      <c r="AZ20" s="86"/>
      <c r="BA20" s="86"/>
      <c r="BC20" s="86"/>
      <c r="BF20" s="146"/>
      <c r="BG20" s="146"/>
      <c r="BH20" s="146"/>
      <c r="BI20" s="146"/>
      <c r="BK20" s="89"/>
      <c r="BL20" s="146"/>
      <c r="BM20" s="146"/>
      <c r="BN20" s="146"/>
    </row>
    <row r="21" spans="2:66">
      <c r="B21" s="142"/>
      <c r="C21" s="142"/>
      <c r="D21" s="142"/>
      <c r="F21" s="142"/>
      <c r="G21" s="142"/>
      <c r="H21" s="142"/>
      <c r="AQ21" s="144"/>
      <c r="AR21" s="146"/>
      <c r="BI21" s="146"/>
      <c r="BK21" s="89"/>
    </row>
    <row r="22" spans="2:66" ht="7.5" customHeight="1">
      <c r="B22" s="160"/>
      <c r="C22" s="160"/>
      <c r="D22" s="160"/>
      <c r="E22" s="161"/>
      <c r="F22" s="160"/>
      <c r="G22" s="160"/>
      <c r="H22" s="16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V22" s="146"/>
      <c r="W22" s="146"/>
      <c r="X22" s="146"/>
      <c r="Y22" s="146"/>
      <c r="Z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3"/>
      <c r="AQ22" s="144"/>
      <c r="AS22" s="146"/>
      <c r="AT22" s="86"/>
      <c r="AU22" s="86"/>
      <c r="AV22" s="86"/>
      <c r="AX22" s="86"/>
      <c r="AY22" s="86"/>
      <c r="AZ22" s="86"/>
      <c r="BA22" s="86"/>
      <c r="BC22" s="86"/>
      <c r="BF22" s="146"/>
      <c r="BG22" s="146"/>
      <c r="BH22" s="146"/>
      <c r="BI22" s="146"/>
      <c r="BK22" s="89"/>
      <c r="BL22" s="146"/>
      <c r="BM22" s="146"/>
      <c r="BN22" s="146"/>
    </row>
    <row r="23" spans="2:66" ht="7.5" customHeight="1">
      <c r="B23" s="142"/>
      <c r="C23" s="142"/>
      <c r="D23" s="142"/>
      <c r="F23" s="142"/>
      <c r="G23" s="142"/>
      <c r="H23" s="142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V23" s="146"/>
      <c r="W23" s="146"/>
      <c r="X23" s="146"/>
      <c r="Y23" s="146"/>
      <c r="Z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3"/>
      <c r="AQ23" s="144"/>
      <c r="AS23" s="146"/>
      <c r="AT23" s="86"/>
      <c r="AU23" s="86"/>
      <c r="AV23" s="86"/>
      <c r="AX23" s="86"/>
      <c r="AY23" s="86"/>
      <c r="AZ23" s="86"/>
      <c r="BA23" s="86"/>
      <c r="BC23" s="86"/>
      <c r="BF23" s="146"/>
      <c r="BG23" s="146"/>
      <c r="BH23" s="146"/>
      <c r="BI23" s="146"/>
      <c r="BK23" s="89"/>
      <c r="BL23" s="146"/>
      <c r="BM23" s="146"/>
      <c r="BN23" s="146"/>
    </row>
    <row r="24" spans="2:66" ht="23.25">
      <c r="B24" s="142"/>
      <c r="C24" s="142"/>
      <c r="D24" s="142"/>
      <c r="F24" s="173" t="s">
        <v>548</v>
      </c>
      <c r="H24" s="142"/>
      <c r="AQ24" s="144"/>
      <c r="AR24" s="146"/>
      <c r="BI24" s="146"/>
      <c r="BK24" s="89"/>
    </row>
    <row r="25" spans="2:66" ht="16.5" customHeight="1">
      <c r="B25" s="142"/>
      <c r="C25" s="142"/>
      <c r="D25" s="142"/>
      <c r="F25" s="142"/>
      <c r="G25" s="158"/>
      <c r="H25" s="142"/>
      <c r="AQ25" s="144"/>
      <c r="AR25" s="146"/>
      <c r="BI25" s="146"/>
      <c r="BK25" s="89"/>
    </row>
    <row r="26" spans="2:66" s="136" customFormat="1">
      <c r="B26" s="11"/>
      <c r="C26" s="11"/>
      <c r="D26" s="11"/>
      <c r="E26" s="11"/>
      <c r="F26" s="30" t="s">
        <v>546</v>
      </c>
      <c r="G26" s="171" t="s">
        <v>547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43"/>
      <c r="AQ26" s="144"/>
      <c r="AR26" s="146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46"/>
      <c r="BJ26" s="11"/>
      <c r="BK26" s="11"/>
      <c r="BL26" s="11"/>
      <c r="BM26" s="11"/>
      <c r="BN26" s="11"/>
    </row>
    <row r="27" spans="2:66">
      <c r="B27" s="155"/>
      <c r="C27" s="152"/>
      <c r="D27" s="152"/>
      <c r="E27" s="152"/>
      <c r="F27" s="167"/>
      <c r="G27" s="172"/>
      <c r="H27" s="170"/>
      <c r="AP27" s="143"/>
      <c r="AQ27" s="144"/>
      <c r="AR27" s="146"/>
      <c r="BI27" s="146"/>
    </row>
    <row r="28" spans="2:66">
      <c r="B28" s="168"/>
      <c r="C28" s="152"/>
      <c r="D28" s="152"/>
      <c r="E28" s="152"/>
      <c r="F28" s="167"/>
      <c r="G28" s="169"/>
      <c r="H28" s="170"/>
      <c r="AP28" s="143"/>
      <c r="AQ28" s="144"/>
      <c r="AR28" s="146"/>
      <c r="BI28" s="146"/>
    </row>
    <row r="29" spans="2:66">
      <c r="B29" s="168"/>
      <c r="C29" s="152"/>
      <c r="D29" s="152"/>
      <c r="E29" s="152"/>
      <c r="F29" s="167"/>
      <c r="G29" s="169"/>
      <c r="H29" s="170"/>
      <c r="V29" s="146"/>
      <c r="W29" s="146"/>
      <c r="X29" s="146"/>
      <c r="Z29" s="146"/>
      <c r="AB29" s="146"/>
      <c r="AC29" s="146"/>
      <c r="AE29" s="146"/>
      <c r="AF29" s="146"/>
      <c r="AH29" s="146"/>
      <c r="AI29" s="146"/>
      <c r="AJ29" s="146"/>
      <c r="AK29" s="146"/>
      <c r="AL29" s="146"/>
      <c r="AM29" s="146"/>
      <c r="AN29" s="146"/>
      <c r="AO29" s="146"/>
      <c r="AP29" s="143"/>
      <c r="AQ29" s="144"/>
      <c r="AR29" s="146"/>
      <c r="AS29" s="146"/>
      <c r="AU29" s="146"/>
      <c r="AV29" s="146"/>
      <c r="AW29" s="146"/>
      <c r="AX29" s="146"/>
      <c r="AY29" s="146"/>
      <c r="AZ29" s="146"/>
      <c r="BA29" s="146"/>
      <c r="BB29" s="146"/>
      <c r="BC29" s="146"/>
      <c r="BE29" s="146"/>
      <c r="BF29" s="146"/>
      <c r="BG29" s="146"/>
      <c r="BH29" s="146"/>
      <c r="BI29" s="146"/>
      <c r="BJ29" s="146"/>
      <c r="BK29" s="89"/>
      <c r="BL29" s="146"/>
      <c r="BM29" s="146"/>
      <c r="BN29" s="146"/>
    </row>
    <row r="30" spans="2:66" s="136" customFormat="1">
      <c r="B30" s="155"/>
      <c r="C30" s="152"/>
      <c r="D30" s="152"/>
      <c r="E30" s="152"/>
      <c r="F30" s="167"/>
      <c r="G30" s="172"/>
      <c r="H30" s="17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2:66" s="136" customFormat="1">
      <c r="B31" s="155"/>
      <c r="C31" s="151"/>
      <c r="D31" s="152"/>
      <c r="E31" s="152"/>
      <c r="F31" s="167"/>
      <c r="G31" s="172"/>
      <c r="H31" s="17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2:66" s="136" customFormat="1">
      <c r="B32" s="155"/>
      <c r="C32" s="152"/>
      <c r="D32" s="152"/>
      <c r="E32" s="152"/>
      <c r="F32" s="167"/>
      <c r="G32" s="172"/>
      <c r="H32" s="17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2:66" s="136" customFormat="1">
      <c r="B33" s="155"/>
      <c r="C33" s="152"/>
      <c r="D33" s="152"/>
      <c r="E33" s="152"/>
      <c r="F33" s="167"/>
      <c r="G33" s="172"/>
      <c r="H33" s="17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2:66" s="136" customFormat="1">
      <c r="B34" s="168"/>
      <c r="C34" s="152"/>
      <c r="D34" s="152"/>
      <c r="E34" s="152"/>
      <c r="F34" s="167"/>
      <c r="G34" s="169"/>
      <c r="H34" s="17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2:66" s="136" customFormat="1">
      <c r="B35" s="168"/>
      <c r="C35" s="152"/>
      <c r="D35" s="152"/>
      <c r="E35" s="152"/>
      <c r="F35" s="167"/>
      <c r="G35" s="169"/>
      <c r="H35" s="17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2:66" s="136" customFormat="1">
      <c r="B36" s="168"/>
      <c r="C36" s="152"/>
      <c r="D36" s="152"/>
      <c r="E36" s="152"/>
      <c r="F36" s="167"/>
      <c r="G36" s="169"/>
      <c r="H36" s="17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2:66" s="136" customFormat="1">
      <c r="B37" s="168"/>
      <c r="C37" s="152"/>
      <c r="D37" s="152"/>
      <c r="E37" s="152"/>
      <c r="F37" s="167"/>
      <c r="G37" s="169"/>
      <c r="H37" s="17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2:66" s="136" customFormat="1">
      <c r="B38" s="155"/>
      <c r="C38" s="152"/>
      <c r="D38" s="152"/>
      <c r="E38" s="152"/>
      <c r="F38" s="167"/>
      <c r="G38" s="172"/>
      <c r="H38" s="17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2:66" s="136" customFormat="1">
      <c r="B39" s="155"/>
      <c r="C39" s="152"/>
      <c r="D39" s="152"/>
      <c r="E39" s="152"/>
      <c r="F39" s="167"/>
      <c r="G39" s="172"/>
      <c r="H39" s="17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2:66" s="136" customFormat="1">
      <c r="B40" s="155"/>
      <c r="C40" s="152"/>
      <c r="D40" s="152"/>
      <c r="E40" s="152"/>
      <c r="F40" s="167"/>
      <c r="G40" s="172"/>
      <c r="H40" s="17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2:66" s="136" customFormat="1">
      <c r="B41" s="155"/>
      <c r="C41" s="152"/>
      <c r="D41" s="152"/>
      <c r="E41" s="152"/>
      <c r="F41" s="167"/>
      <c r="G41" s="172"/>
      <c r="H41" s="17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2:66" s="136" customFormat="1">
      <c r="B42" s="168"/>
      <c r="C42" s="152"/>
      <c r="D42" s="152"/>
      <c r="E42" s="152"/>
      <c r="F42" s="167"/>
      <c r="G42" s="169"/>
      <c r="H42" s="17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2:66" s="136" customFormat="1">
      <c r="B43" s="168"/>
      <c r="C43" s="152"/>
      <c r="D43" s="152"/>
      <c r="E43" s="152"/>
      <c r="F43" s="167"/>
      <c r="G43" s="169"/>
      <c r="H43" s="17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2:66" s="136" customFormat="1">
      <c r="B44" s="155"/>
      <c r="C44" s="151"/>
      <c r="D44" s="152"/>
      <c r="E44" s="152"/>
      <c r="F44" s="167"/>
      <c r="G44" s="172"/>
      <c r="H44" s="17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2:66" s="136" customFormat="1">
      <c r="B45" s="155"/>
      <c r="C45" s="151"/>
      <c r="D45" s="152"/>
      <c r="E45" s="152"/>
      <c r="F45" s="167"/>
      <c r="G45" s="172"/>
      <c r="H45" s="17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2:66" s="136" customFormat="1">
      <c r="B46" s="146"/>
      <c r="C46" s="146"/>
      <c r="D46" s="11"/>
      <c r="E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2:66" s="136" customFormat="1">
      <c r="B47" s="146"/>
      <c r="C47" s="146"/>
      <c r="D47" s="11"/>
      <c r="E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2:66" s="136" customFormat="1">
      <c r="B48" s="146"/>
      <c r="C48" s="146"/>
      <c r="D48" s="11"/>
      <c r="E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2:66" s="136" customFormat="1">
      <c r="B49" s="146"/>
      <c r="C49" s="146"/>
      <c r="D49" s="11"/>
      <c r="E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2:66" s="136" customFormat="1">
      <c r="B50" s="146"/>
      <c r="C50" s="146"/>
      <c r="D50" s="11"/>
      <c r="E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2:66" s="136" customFormat="1">
      <c r="B51" s="146"/>
      <c r="C51" s="146"/>
      <c r="D51" s="11"/>
      <c r="E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2:66" s="136" customFormat="1">
      <c r="B52" s="146"/>
      <c r="C52" s="146"/>
      <c r="D52" s="11"/>
      <c r="E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2:66" s="136" customFormat="1">
      <c r="B53" s="146"/>
      <c r="C53" s="146"/>
      <c r="D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2:66" s="136" customFormat="1">
      <c r="B54" s="146"/>
      <c r="C54" s="146"/>
      <c r="D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2:66" s="136" customFormat="1">
      <c r="B55" s="146"/>
      <c r="C55" s="146"/>
      <c r="D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2:66" s="136" customFormat="1">
      <c r="B56" s="146"/>
      <c r="C56" s="146"/>
      <c r="D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2:66" s="136" customFormat="1">
      <c r="B57" s="146"/>
      <c r="C57" s="146"/>
      <c r="D57" s="11"/>
      <c r="E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2:66" s="136" customFormat="1">
      <c r="B58" s="146"/>
      <c r="C58" s="146"/>
      <c r="D58" s="11"/>
      <c r="E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2:66" s="136" customFormat="1">
      <c r="B59" s="146"/>
      <c r="C59" s="146"/>
      <c r="D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2:66" s="136" customFormat="1">
      <c r="B60" s="146"/>
      <c r="C60" s="146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2:66" s="136" customFormat="1">
      <c r="B61" s="146"/>
      <c r="C61" s="146"/>
      <c r="D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2:66" s="136" customFormat="1">
      <c r="B62" s="146"/>
      <c r="C62" s="146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2:66" s="136" customFormat="1">
      <c r="B63" s="146"/>
      <c r="C63" s="146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2:66" s="136" customFormat="1">
      <c r="B64" s="146"/>
      <c r="C64" s="146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2:66" s="136" customFormat="1">
      <c r="B65" s="146"/>
      <c r="C65" s="146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2:66" s="136" customFormat="1">
      <c r="B66" s="146"/>
      <c r="C66" s="146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2:66" s="136" customFormat="1">
      <c r="B67" s="146"/>
      <c r="C67" s="146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2:66" s="136" customFormat="1">
      <c r="B68" s="146"/>
      <c r="C68" s="146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2:66" s="136" customFormat="1">
      <c r="B69" s="146"/>
      <c r="C69" s="146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2:66" s="136" customFormat="1">
      <c r="B70" s="146"/>
      <c r="C70" s="146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2:66" s="136" customFormat="1">
      <c r="B71" s="146"/>
      <c r="C71" s="146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2:66" s="136" customFormat="1">
      <c r="B72" s="146"/>
      <c r="C72" s="146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2:66" s="136" customFormat="1">
      <c r="B73" s="146"/>
      <c r="C73" s="146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2:66" s="136" customFormat="1">
      <c r="B74" s="146"/>
      <c r="C74" s="146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2:66" s="136" customFormat="1">
      <c r="B75" s="146"/>
      <c r="C75" s="146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2:66" s="136" customFormat="1">
      <c r="B76" s="146"/>
      <c r="C76" s="146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2:66" s="136" customFormat="1">
      <c r="B77" s="146"/>
      <c r="C77" s="146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2:66" s="136" customFormat="1">
      <c r="B78" s="146"/>
      <c r="C78" s="146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2:66" s="136" customFormat="1">
      <c r="B79" s="146"/>
      <c r="C79" s="146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2:66" s="136" customFormat="1">
      <c r="B80" s="146"/>
      <c r="C80" s="146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2:66" s="136" customFormat="1">
      <c r="B81" s="146"/>
      <c r="C81" s="146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2:66" s="136" customFormat="1">
      <c r="B82" s="146"/>
      <c r="C82" s="146"/>
      <c r="D82" s="11"/>
      <c r="E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2:66" s="136" customFormat="1">
      <c r="B83" s="146"/>
      <c r="C83" s="146"/>
      <c r="D83" s="11"/>
      <c r="E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2:66" s="136" customFormat="1">
      <c r="B84" s="146"/>
      <c r="C84" s="146"/>
      <c r="D84" s="11"/>
      <c r="E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2:66" s="136" customFormat="1">
      <c r="B85" s="146"/>
      <c r="C85" s="146"/>
      <c r="D85" s="11"/>
      <c r="E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2:66" s="136" customFormat="1">
      <c r="B86" s="146"/>
      <c r="C86" s="146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2:66" s="136" customFormat="1">
      <c r="B87" s="146"/>
      <c r="C87" s="146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2:66" s="136" customFormat="1">
      <c r="B88" s="146"/>
      <c r="C88" s="146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2:66" s="136" customFormat="1">
      <c r="B89" s="146"/>
      <c r="C89" s="146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2:66" s="136" customFormat="1">
      <c r="B90" s="146"/>
      <c r="C90" s="146"/>
      <c r="D90" s="11"/>
      <c r="E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2:66" s="136" customFormat="1">
      <c r="B91" s="146"/>
      <c r="C91" s="146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2:66" s="136" customFormat="1">
      <c r="B92" s="146"/>
      <c r="C92" s="146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2:66" s="136" customFormat="1">
      <c r="B93" s="146"/>
      <c r="C93" s="146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2:66" s="136" customFormat="1">
      <c r="B94" s="146"/>
      <c r="C94" s="146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2:66" s="136" customFormat="1">
      <c r="B95" s="146"/>
      <c r="C95" s="146"/>
      <c r="D95" s="11"/>
      <c r="E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2:66" s="136" customFormat="1">
      <c r="B96" s="146"/>
      <c r="C96" s="146"/>
      <c r="D96" s="11"/>
      <c r="E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2:66" s="136" customFormat="1">
      <c r="B97" s="146"/>
      <c r="C97" s="146"/>
      <c r="D97" s="11"/>
      <c r="E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2:66" s="136" customFormat="1">
      <c r="B98" s="146"/>
      <c r="C98" s="146"/>
      <c r="D98" s="11"/>
      <c r="E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2:66" s="136" customFormat="1">
      <c r="B99" s="146"/>
      <c r="C99" s="146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2:66" s="136" customFormat="1">
      <c r="B100" s="146"/>
      <c r="C100" s="146"/>
      <c r="D100" s="11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2:66" s="136" customFormat="1">
      <c r="B101" s="146"/>
      <c r="C101" s="146"/>
      <c r="D101" s="11"/>
      <c r="E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2:66" s="136" customFormat="1">
      <c r="B102" s="146"/>
      <c r="C102" s="146"/>
      <c r="D102" s="11"/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2:66" s="136" customFormat="1">
      <c r="B103" s="146"/>
      <c r="C103" s="146"/>
      <c r="D103" s="11"/>
      <c r="E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2:66" s="136" customFormat="1">
      <c r="B104" s="146"/>
      <c r="C104" s="146"/>
      <c r="D104" s="11"/>
      <c r="E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2:66" s="136" customFormat="1">
      <c r="B105" s="146"/>
      <c r="C105" s="146"/>
      <c r="D105" s="11"/>
      <c r="E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2:66" s="136" customFormat="1">
      <c r="B106" s="146"/>
      <c r="C106" s="146"/>
      <c r="D106" s="11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2:66" s="136" customFormat="1">
      <c r="B107" s="146"/>
      <c r="C107" s="146"/>
      <c r="D107" s="11"/>
      <c r="E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2:66" s="136" customFormat="1">
      <c r="B108" s="146"/>
      <c r="C108" s="146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2:66" s="136" customFormat="1">
      <c r="B109" s="146"/>
      <c r="C109" s="146"/>
      <c r="D109" s="11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2:66" s="136" customFormat="1">
      <c r="B110" s="146"/>
      <c r="C110" s="146"/>
      <c r="D110" s="11"/>
      <c r="E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2:66" s="136" customFormat="1">
      <c r="B111" s="146"/>
      <c r="C111" s="146"/>
      <c r="D111" s="11"/>
      <c r="E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2:66" s="136" customFormat="1">
      <c r="B112" s="146"/>
      <c r="C112" s="146"/>
      <c r="D112" s="11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2:66" s="136" customFormat="1">
      <c r="B113" s="146"/>
      <c r="C113" s="146"/>
      <c r="D113" s="11"/>
      <c r="E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2:66" s="136" customFormat="1">
      <c r="B114" s="146"/>
      <c r="C114" s="146"/>
      <c r="D114" s="11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2:66" s="136" customFormat="1">
      <c r="B115" s="146"/>
      <c r="C115" s="146"/>
      <c r="D115" s="11"/>
      <c r="E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2:66" s="136" customFormat="1">
      <c r="B116" s="146"/>
      <c r="C116" s="146"/>
      <c r="D116" s="11"/>
      <c r="E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2:66" s="136" customFormat="1">
      <c r="B117" s="146"/>
      <c r="C117" s="146"/>
      <c r="D117" s="11"/>
      <c r="E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2:66" s="136" customFormat="1">
      <c r="B118" s="146"/>
      <c r="C118" s="146"/>
      <c r="D118" s="11"/>
      <c r="E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2:66" s="136" customFormat="1">
      <c r="B119" s="146"/>
      <c r="C119" s="146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2:66" s="136" customFormat="1">
      <c r="B120" s="146"/>
      <c r="C120" s="146"/>
      <c r="D120" s="11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2:66" s="136" customFormat="1">
      <c r="B121" s="146"/>
      <c r="C121" s="146"/>
      <c r="D121" s="11"/>
      <c r="E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2:66" s="136" customFormat="1">
      <c r="B122" s="146"/>
      <c r="C122" s="146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2:66" s="136" customFormat="1">
      <c r="B123" s="146"/>
      <c r="C123" s="146"/>
      <c r="D123" s="11"/>
      <c r="E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2:66" s="136" customFormat="1">
      <c r="B124" s="146"/>
      <c r="C124" s="146"/>
      <c r="D124" s="11"/>
      <c r="E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2:66" s="136" customFormat="1">
      <c r="B125" s="146"/>
      <c r="C125" s="146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2:66" s="136" customFormat="1">
      <c r="B126" s="146"/>
      <c r="C126" s="146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2:66" s="136" customFormat="1">
      <c r="B127" s="146"/>
      <c r="C127" s="146"/>
      <c r="D127" s="11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2:66" s="136" customFormat="1">
      <c r="B128" s="146"/>
      <c r="C128" s="146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2:66" s="136" customFormat="1">
      <c r="B129" s="146"/>
      <c r="C129" s="146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2:66" s="136" customFormat="1">
      <c r="B130" s="146"/>
      <c r="C130" s="146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2:66" s="136" customFormat="1">
      <c r="B131" s="146"/>
      <c r="C131" s="146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2:66" s="136" customFormat="1">
      <c r="B132" s="146"/>
      <c r="C132" s="146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2:66" s="136" customFormat="1">
      <c r="B133" s="146"/>
      <c r="C133" s="146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2:66" s="136" customFormat="1">
      <c r="B134" s="146"/>
      <c r="C134" s="146"/>
      <c r="D134" s="11"/>
      <c r="E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2:66" s="136" customFormat="1">
      <c r="B135" s="146"/>
      <c r="C135" s="146"/>
      <c r="D135" s="11"/>
      <c r="E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2:66" s="136" customFormat="1">
      <c r="B136" s="146"/>
      <c r="C136" s="146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2:66" s="136" customFormat="1">
      <c r="B137" s="146"/>
      <c r="C137" s="146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2:66" s="136" customFormat="1">
      <c r="B138" s="146"/>
      <c r="C138" s="146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2:66" s="136" customFormat="1">
      <c r="B139" s="146"/>
      <c r="C139" s="146"/>
      <c r="D139" s="11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2:66" s="136" customFormat="1">
      <c r="B140" s="146"/>
      <c r="C140" s="146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2:66" s="136" customFormat="1">
      <c r="B141" s="146"/>
      <c r="C141" s="146"/>
      <c r="D141" s="11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2:66" s="136" customFormat="1">
      <c r="B142" s="146"/>
      <c r="C142" s="146"/>
      <c r="D142" s="11"/>
      <c r="E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2:66" s="136" customFormat="1">
      <c r="B143" s="146"/>
      <c r="C143" s="146"/>
      <c r="D143" s="11"/>
      <c r="E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2:66" s="136" customFormat="1">
      <c r="B144" s="146"/>
      <c r="C144" s="146"/>
      <c r="D144" s="11"/>
      <c r="E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2:66" s="136" customFormat="1">
      <c r="B145" s="146"/>
      <c r="C145" s="146"/>
      <c r="D145" s="11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2:66" s="136" customFormat="1">
      <c r="B146" s="146"/>
      <c r="C146" s="146"/>
      <c r="D146" s="11"/>
      <c r="E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2:66" s="136" customFormat="1">
      <c r="B147" s="146"/>
      <c r="C147" s="146"/>
      <c r="D147" s="11"/>
      <c r="E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2:66" s="136" customFormat="1">
      <c r="B148" s="146"/>
      <c r="C148" s="146"/>
      <c r="D148" s="11"/>
      <c r="E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</sheetData>
  <mergeCells count="7">
    <mergeCell ref="BD4:BK4"/>
    <mergeCell ref="AT8:AX8"/>
    <mergeCell ref="AT13:AX13"/>
    <mergeCell ref="AT6:AX6"/>
    <mergeCell ref="AR4:AS4"/>
    <mergeCell ref="AT4:AX4"/>
    <mergeCell ref="AY4:BC4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P15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.7109375" style="11" customWidth="1"/>
    <col min="5" max="5" width="11.140625" style="11" customWidth="1"/>
    <col min="6" max="6" width="53.85546875" style="136" customWidth="1"/>
    <col min="7" max="7" width="22.7109375" style="11" customWidth="1"/>
    <col min="8" max="8" width="15.7109375" style="11" customWidth="1"/>
    <col min="9" max="9" width="14.7109375" style="11" customWidth="1"/>
    <col min="10" max="10" width="12.5703125" style="11" customWidth="1"/>
    <col min="11" max="11" width="13.42578125" style="11" customWidth="1"/>
    <col min="12" max="12" width="13.140625" style="11" customWidth="1"/>
    <col min="13" max="13" width="13.42578125" style="11" customWidth="1"/>
    <col min="14" max="14" width="13.28515625" style="11" customWidth="1"/>
    <col min="15" max="15" width="13.42578125" style="11" hidden="1" customWidth="1"/>
    <col min="16" max="16" width="10.7109375" style="11" hidden="1" customWidth="1"/>
    <col min="17" max="17" width="13.42578125" style="11" hidden="1" customWidth="1"/>
    <col min="18" max="18" width="9.7109375" style="11" hidden="1" customWidth="1"/>
    <col min="19" max="19" width="13.140625" style="11" hidden="1" customWidth="1"/>
    <col min="20" max="20" width="12.140625" style="11" hidden="1" customWidth="1"/>
    <col min="21" max="21" width="10" style="11" customWidth="1"/>
    <col min="22" max="22" width="6.140625" style="11" customWidth="1"/>
    <col min="23" max="23" width="9.7109375" style="11" customWidth="1"/>
    <col min="24" max="24" width="7.140625" style="11" customWidth="1"/>
    <col min="25" max="25" width="11.28515625" style="11" customWidth="1"/>
    <col min="26" max="26" width="9.42578125" style="11" customWidth="1"/>
    <col min="27" max="27" width="10.5703125" style="11" customWidth="1"/>
    <col min="28" max="29" width="8.42578125" style="11" customWidth="1"/>
    <col min="30" max="30" width="12.5703125" style="11" customWidth="1"/>
    <col min="31" max="31" width="7.7109375" style="11" customWidth="1"/>
    <col min="32" max="32" width="10.28515625" style="11" customWidth="1"/>
    <col min="33" max="33" width="15.5703125" style="11" customWidth="1"/>
    <col min="34" max="34" width="7.7109375" style="11" customWidth="1"/>
    <col min="35" max="35" width="10.5703125" style="11" customWidth="1"/>
    <col min="36" max="36" width="6.140625" style="11" customWidth="1"/>
    <col min="37" max="38" width="9.28515625" style="11" customWidth="1"/>
    <col min="39" max="39" width="14.140625" style="11" customWidth="1"/>
    <col min="40" max="40" width="11" style="11" customWidth="1"/>
    <col min="41" max="41" width="9.140625" style="11" bestFit="1" customWidth="1"/>
    <col min="42" max="42" width="13" style="11" customWidth="1"/>
    <col min="43" max="43" width="9.140625" style="11" customWidth="1"/>
    <col min="44" max="44" width="14.85546875" style="11" customWidth="1"/>
    <col min="45" max="45" width="17.140625" style="11" customWidth="1"/>
    <col min="46" max="46" width="7" style="11" bestFit="1" customWidth="1"/>
    <col min="47" max="47" width="17.85546875" style="11" customWidth="1"/>
    <col min="48" max="48" width="6.85546875" style="11" bestFit="1" customWidth="1"/>
    <col min="49" max="49" width="6.7109375" style="11" customWidth="1"/>
    <col min="50" max="50" width="7.5703125" style="11" bestFit="1" customWidth="1"/>
    <col min="51" max="51" width="7" style="11" bestFit="1" customWidth="1"/>
    <col min="52" max="52" width="20.140625" style="11" bestFit="1" customWidth="1"/>
    <col min="53" max="53" width="6.85546875" style="11" bestFit="1" customWidth="1"/>
    <col min="54" max="54" width="5.5703125" style="11" bestFit="1" customWidth="1"/>
    <col min="55" max="55" width="7.5703125" style="11" bestFit="1" customWidth="1"/>
    <col min="56" max="56" width="17.85546875" style="11" customWidth="1"/>
    <col min="57" max="57" width="10.42578125" style="11" bestFit="1" customWidth="1"/>
    <col min="58" max="58" width="12" style="11" bestFit="1" customWidth="1"/>
    <col min="59" max="60" width="14.42578125" style="11" bestFit="1" customWidth="1"/>
    <col min="61" max="61" width="13.28515625" style="11" bestFit="1" customWidth="1"/>
    <col min="62" max="62" width="16.28515625" style="11" bestFit="1" customWidth="1"/>
    <col min="63" max="63" width="22.28515625" style="11" customWidth="1"/>
    <col min="64" max="64" width="12.140625" style="11" hidden="1" customWidth="1"/>
    <col min="65" max="65" width="15.42578125" style="11" hidden="1" customWidth="1"/>
    <col min="66" max="66" width="12.42578125" style="11" hidden="1" customWidth="1"/>
    <col min="67" max="16384" width="9.140625" style="11"/>
  </cols>
  <sheetData>
    <row r="2" spans="1:68" ht="23.25">
      <c r="F2" s="9" t="s">
        <v>578</v>
      </c>
      <c r="H2" s="9"/>
      <c r="I2" s="10"/>
    </row>
    <row r="3" spans="1:68" ht="20.25">
      <c r="F3" s="242">
        <v>41699</v>
      </c>
    </row>
    <row r="4" spans="1:68" ht="15.75">
      <c r="D4" s="137" t="s">
        <v>17</v>
      </c>
      <c r="E4" s="137"/>
      <c r="I4" s="16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Y4" s="18" t="s">
        <v>16</v>
      </c>
      <c r="Z4" s="18"/>
      <c r="AA4" s="17"/>
      <c r="AB4" s="17"/>
      <c r="AC4" s="19"/>
      <c r="AD4" s="19"/>
      <c r="AE4" s="19"/>
      <c r="AF4" s="19"/>
      <c r="AG4" s="19"/>
      <c r="AH4" s="19"/>
      <c r="AI4" s="19"/>
      <c r="AJ4" s="19"/>
      <c r="AP4" s="221" t="s">
        <v>703</v>
      </c>
      <c r="AQ4" s="221"/>
      <c r="AR4" s="392" t="s">
        <v>19</v>
      </c>
      <c r="AS4" s="392"/>
      <c r="AT4" s="393" t="s">
        <v>22</v>
      </c>
      <c r="AU4" s="393"/>
      <c r="AV4" s="393"/>
      <c r="AW4" s="393"/>
      <c r="AX4" s="393"/>
      <c r="AY4" s="398" t="s">
        <v>28</v>
      </c>
      <c r="AZ4" s="398"/>
      <c r="BA4" s="398"/>
      <c r="BB4" s="398"/>
      <c r="BC4" s="398"/>
      <c r="BD4" s="389" t="s">
        <v>34</v>
      </c>
      <c r="BE4" s="389"/>
      <c r="BF4" s="389"/>
      <c r="BG4" s="389"/>
      <c r="BH4" s="389"/>
      <c r="BI4" s="389"/>
      <c r="BJ4" s="389"/>
      <c r="BK4" s="389"/>
    </row>
    <row r="5" spans="1:68" ht="30">
      <c r="B5" s="139" t="s">
        <v>0</v>
      </c>
      <c r="C5" s="150" t="s">
        <v>658</v>
      </c>
      <c r="D5" s="139" t="s">
        <v>2</v>
      </c>
      <c r="E5" s="30" t="s">
        <v>56</v>
      </c>
      <c r="F5" s="30" t="s">
        <v>1</v>
      </c>
      <c r="G5" s="31" t="s">
        <v>3</v>
      </c>
      <c r="H5" s="31" t="s">
        <v>7</v>
      </c>
      <c r="I5" s="31" t="s">
        <v>4</v>
      </c>
      <c r="J5" s="31" t="s">
        <v>6</v>
      </c>
      <c r="K5" s="31" t="s">
        <v>5</v>
      </c>
      <c r="L5" s="31" t="s">
        <v>57</v>
      </c>
      <c r="M5" s="31" t="s">
        <v>54</v>
      </c>
      <c r="N5" s="31" t="s">
        <v>58</v>
      </c>
      <c r="O5" s="31" t="s">
        <v>59</v>
      </c>
      <c r="P5" s="31" t="s">
        <v>60</v>
      </c>
      <c r="Q5" s="31" t="s">
        <v>61</v>
      </c>
      <c r="R5" s="31" t="s">
        <v>62</v>
      </c>
      <c r="S5" s="31" t="s">
        <v>565</v>
      </c>
      <c r="T5" s="31" t="s">
        <v>62</v>
      </c>
      <c r="U5" s="32" t="s">
        <v>8</v>
      </c>
      <c r="V5" s="32" t="s">
        <v>47</v>
      </c>
      <c r="W5" s="32" t="s">
        <v>9</v>
      </c>
      <c r="X5" s="32" t="s">
        <v>36</v>
      </c>
      <c r="Y5" s="32" t="s">
        <v>10</v>
      </c>
      <c r="Z5" s="32" t="s">
        <v>48</v>
      </c>
      <c r="AA5" s="32" t="s">
        <v>11</v>
      </c>
      <c r="AB5" s="32" t="s">
        <v>53</v>
      </c>
      <c r="AC5" s="32" t="s">
        <v>12</v>
      </c>
      <c r="AD5" s="32" t="s">
        <v>52</v>
      </c>
      <c r="AE5" s="32" t="s">
        <v>49</v>
      </c>
      <c r="AF5" s="32" t="s">
        <v>14</v>
      </c>
      <c r="AG5" s="32" t="s">
        <v>37</v>
      </c>
      <c r="AH5" s="32" t="s">
        <v>50</v>
      </c>
      <c r="AI5" s="32" t="s">
        <v>51</v>
      </c>
      <c r="AJ5" s="32" t="s">
        <v>46</v>
      </c>
      <c r="AK5" s="32" t="s">
        <v>38</v>
      </c>
      <c r="AL5" s="32" t="s">
        <v>738</v>
      </c>
      <c r="AM5" s="32" t="s">
        <v>39</v>
      </c>
      <c r="AN5" s="32" t="s">
        <v>40</v>
      </c>
      <c r="AO5" s="32" t="s">
        <v>13</v>
      </c>
      <c r="AP5" s="140" t="s">
        <v>20</v>
      </c>
      <c r="AQ5" s="141" t="s">
        <v>21</v>
      </c>
      <c r="AR5" s="33" t="s">
        <v>18</v>
      </c>
      <c r="AS5" s="33" t="s">
        <v>55</v>
      </c>
      <c r="AT5" s="35" t="s">
        <v>23</v>
      </c>
      <c r="AU5" s="35" t="s">
        <v>24</v>
      </c>
      <c r="AV5" s="35" t="s">
        <v>25</v>
      </c>
      <c r="AW5" s="35" t="s">
        <v>26</v>
      </c>
      <c r="AX5" s="35" t="s">
        <v>27</v>
      </c>
      <c r="AY5" s="36" t="s">
        <v>23</v>
      </c>
      <c r="AZ5" s="36" t="s">
        <v>24</v>
      </c>
      <c r="BA5" s="36" t="s">
        <v>25</v>
      </c>
      <c r="BB5" s="36" t="s">
        <v>26</v>
      </c>
      <c r="BC5" s="36" t="s">
        <v>27</v>
      </c>
      <c r="BD5" s="37" t="s">
        <v>45</v>
      </c>
      <c r="BE5" s="38" t="s">
        <v>29</v>
      </c>
      <c r="BF5" s="38" t="s">
        <v>30</v>
      </c>
      <c r="BG5" s="38" t="s">
        <v>31</v>
      </c>
      <c r="BH5" s="38" t="s">
        <v>32</v>
      </c>
      <c r="BI5" s="38" t="s">
        <v>33</v>
      </c>
      <c r="BJ5" s="38" t="s">
        <v>35</v>
      </c>
      <c r="BK5" s="38" t="s">
        <v>44</v>
      </c>
      <c r="BL5" s="38" t="s">
        <v>41</v>
      </c>
      <c r="BM5" s="38" t="s">
        <v>42</v>
      </c>
      <c r="BN5" s="38" t="s">
        <v>43</v>
      </c>
    </row>
    <row r="6" spans="1:68" ht="30">
      <c r="A6" s="244">
        <v>41699</v>
      </c>
      <c r="B6" s="215" t="s">
        <v>1085</v>
      </c>
      <c r="C6" s="215" t="s">
        <v>582</v>
      </c>
      <c r="D6" s="247" t="s">
        <v>1086</v>
      </c>
      <c r="E6" s="151" t="s">
        <v>1087</v>
      </c>
      <c r="F6" s="196" t="s">
        <v>1088</v>
      </c>
      <c r="G6" s="174" t="s">
        <v>900</v>
      </c>
      <c r="H6" s="247" t="s">
        <v>1089</v>
      </c>
      <c r="I6" s="182"/>
      <c r="J6" s="182"/>
      <c r="K6" s="182"/>
      <c r="L6" s="184"/>
      <c r="M6" s="182"/>
      <c r="N6" s="184"/>
      <c r="O6" s="197"/>
      <c r="P6" s="197"/>
      <c r="Q6" s="197"/>
      <c r="R6" s="197"/>
      <c r="S6" s="197"/>
      <c r="T6" s="197"/>
      <c r="U6" s="217"/>
      <c r="V6" s="217"/>
      <c r="W6" s="182"/>
      <c r="X6" s="217"/>
      <c r="Y6" s="219"/>
      <c r="Z6" s="217"/>
      <c r="AA6" s="219"/>
      <c r="AB6" s="215"/>
      <c r="AC6" s="215"/>
      <c r="AD6" s="215"/>
      <c r="AE6" s="215"/>
      <c r="AF6" s="215"/>
      <c r="AG6" s="215"/>
      <c r="AH6" s="215"/>
      <c r="AI6" s="215"/>
      <c r="AJ6" s="174"/>
      <c r="AK6" s="215"/>
      <c r="AL6" s="215"/>
      <c r="AM6" s="215"/>
      <c r="AN6" s="215"/>
      <c r="AO6" s="253"/>
      <c r="AP6" s="180">
        <v>23.39</v>
      </c>
      <c r="AQ6" s="175">
        <f>AP6/0.444</f>
        <v>52.68018018018018</v>
      </c>
      <c r="AR6" s="188" t="s">
        <v>1090</v>
      </c>
      <c r="AS6" s="188" t="s">
        <v>1091</v>
      </c>
      <c r="AT6" s="395" t="s">
        <v>720</v>
      </c>
      <c r="AU6" s="396"/>
      <c r="AV6" s="396"/>
      <c r="AW6" s="396"/>
      <c r="AX6" s="397"/>
      <c r="AY6" s="255">
        <v>11.75</v>
      </c>
      <c r="AZ6" s="255">
        <v>10.5</v>
      </c>
      <c r="BA6" s="255">
        <v>7.375</v>
      </c>
      <c r="BB6" s="191">
        <f>(BA6*AZ6*AY6)/1728</f>
        <v>0.52655707465277779</v>
      </c>
      <c r="BC6" s="255">
        <v>2.35</v>
      </c>
      <c r="BD6" s="215" t="s">
        <v>68</v>
      </c>
      <c r="BE6" s="215">
        <v>6</v>
      </c>
      <c r="BF6" s="215">
        <v>12</v>
      </c>
      <c r="BG6" s="215">
        <v>6</v>
      </c>
      <c r="BH6" s="194">
        <f>BE6*BF6*BG6</f>
        <v>432</v>
      </c>
      <c r="BI6" s="194">
        <f t="shared" ref="BI6:BI19" si="0">(BC6*BF6*BG6)+50</f>
        <v>219.20000000000002</v>
      </c>
      <c r="BJ6" s="194" t="s">
        <v>240</v>
      </c>
      <c r="BK6" s="194" t="s">
        <v>107</v>
      </c>
      <c r="BL6" s="199"/>
      <c r="BM6" s="38"/>
      <c r="BN6" s="38"/>
    </row>
    <row r="7" spans="1:68">
      <c r="A7" s="244">
        <v>41699</v>
      </c>
      <c r="B7" s="193" t="s">
        <v>1092</v>
      </c>
      <c r="C7" s="193" t="s">
        <v>582</v>
      </c>
      <c r="D7" s="247" t="s">
        <v>989</v>
      </c>
      <c r="E7" s="174" t="s">
        <v>85</v>
      </c>
      <c r="F7" s="246" t="s">
        <v>1093</v>
      </c>
      <c r="G7" s="246" t="s">
        <v>900</v>
      </c>
      <c r="H7" s="246" t="s">
        <v>1094</v>
      </c>
      <c r="I7" s="249"/>
      <c r="J7" s="182"/>
      <c r="K7" s="182"/>
      <c r="L7" s="184"/>
      <c r="M7" s="197"/>
      <c r="N7" s="197"/>
      <c r="O7" s="197"/>
      <c r="P7" s="197"/>
      <c r="Q7" s="197"/>
      <c r="R7" s="197"/>
      <c r="S7" s="197"/>
      <c r="T7" s="197"/>
      <c r="U7" s="217"/>
      <c r="V7" s="217"/>
      <c r="W7" s="182">
        <v>83570</v>
      </c>
      <c r="X7" s="217"/>
      <c r="Y7" s="219"/>
      <c r="Z7" s="217"/>
      <c r="AA7" s="219"/>
      <c r="AB7" s="243" t="s">
        <v>1095</v>
      </c>
      <c r="AC7" s="215" t="s">
        <v>1096</v>
      </c>
      <c r="AD7" s="215"/>
      <c r="AE7" s="215" t="s">
        <v>1097</v>
      </c>
      <c r="AF7" s="215"/>
      <c r="AG7" s="215"/>
      <c r="AH7" s="215"/>
      <c r="AI7" s="215"/>
      <c r="AJ7" s="174">
        <v>9570</v>
      </c>
      <c r="AK7" s="215" t="s">
        <v>1098</v>
      </c>
      <c r="AL7" s="215"/>
      <c r="AM7" s="215" t="s">
        <v>1099</v>
      </c>
      <c r="AN7" s="215" t="s">
        <v>1100</v>
      </c>
      <c r="AO7" s="256" t="s">
        <v>1101</v>
      </c>
      <c r="AP7" s="180">
        <v>20.96</v>
      </c>
      <c r="AQ7" s="175">
        <f t="shared" ref="AQ7:AQ19" si="1">AP7/0.444</f>
        <v>47.207207207207212</v>
      </c>
      <c r="AR7" s="188" t="s">
        <v>1102</v>
      </c>
      <c r="AS7" s="188" t="s">
        <v>1103</v>
      </c>
      <c r="AT7" s="237">
        <v>7.7859999999999996</v>
      </c>
      <c r="AU7" s="237">
        <v>2.536</v>
      </c>
      <c r="AV7" s="237">
        <v>9.0719999999999992</v>
      </c>
      <c r="AW7" s="191">
        <f t="shared" ref="AW7:AW18" si="2">(AV7*AU7*AT7)/1728</f>
        <v>0.10366280399999998</v>
      </c>
      <c r="AX7" s="237">
        <v>0.3</v>
      </c>
      <c r="AY7" s="237">
        <v>9.75</v>
      </c>
      <c r="AZ7" s="237">
        <v>8.18</v>
      </c>
      <c r="BA7" s="237">
        <v>8.5</v>
      </c>
      <c r="BB7" s="191">
        <f>(BA7*AZ7*AY7)/1728</f>
        <v>0.39231336805555556</v>
      </c>
      <c r="BC7" s="255">
        <f>AX7*BE7+0.25</f>
        <v>1.1499999999999999</v>
      </c>
      <c r="BD7" s="215" t="s">
        <v>68</v>
      </c>
      <c r="BE7" s="193">
        <v>3</v>
      </c>
      <c r="BF7" s="193">
        <v>20</v>
      </c>
      <c r="BG7" s="193">
        <v>5</v>
      </c>
      <c r="BH7" s="194">
        <f>BE7*BF7*BG7</f>
        <v>300</v>
      </c>
      <c r="BI7" s="194">
        <f t="shared" si="0"/>
        <v>165</v>
      </c>
      <c r="BJ7" s="194" t="s">
        <v>240</v>
      </c>
      <c r="BK7" s="194" t="s">
        <v>107</v>
      </c>
      <c r="BL7" s="199"/>
      <c r="BM7" s="38"/>
      <c r="BN7" s="38"/>
    </row>
    <row r="8" spans="1:68">
      <c r="A8" s="244"/>
      <c r="B8" s="210" t="s">
        <v>1010</v>
      </c>
      <c r="C8" s="210" t="s">
        <v>582</v>
      </c>
      <c r="D8" s="247" t="s">
        <v>989</v>
      </c>
      <c r="E8" s="152" t="s">
        <v>85</v>
      </c>
      <c r="F8" s="246" t="s">
        <v>1011</v>
      </c>
      <c r="G8" s="246" t="s">
        <v>929</v>
      </c>
      <c r="H8" s="246" t="s">
        <v>1020</v>
      </c>
      <c r="I8" s="249" t="s">
        <v>260</v>
      </c>
      <c r="J8" s="182" t="s">
        <v>1021</v>
      </c>
      <c r="K8" s="182"/>
      <c r="L8" s="184"/>
      <c r="M8" s="197"/>
      <c r="N8" s="197"/>
      <c r="O8" s="197"/>
      <c r="P8" s="197"/>
      <c r="Q8" s="197"/>
      <c r="R8" s="197"/>
      <c r="S8" s="197"/>
      <c r="T8" s="197"/>
      <c r="U8" s="217"/>
      <c r="V8" s="217"/>
      <c r="W8" s="182">
        <v>83740</v>
      </c>
      <c r="X8" s="217"/>
      <c r="Y8" s="219"/>
      <c r="Z8" s="217"/>
      <c r="AA8" s="219"/>
      <c r="AB8" s="151" t="s">
        <v>1012</v>
      </c>
      <c r="AC8" s="209" t="s">
        <v>1013</v>
      </c>
      <c r="AD8" s="209" t="s">
        <v>1014</v>
      </c>
      <c r="AE8" s="209" t="s">
        <v>1015</v>
      </c>
      <c r="AF8" s="215"/>
      <c r="AG8" s="215"/>
      <c r="AH8" s="215"/>
      <c r="AI8" s="215"/>
      <c r="AJ8" s="174">
        <v>9740</v>
      </c>
      <c r="AK8" s="209" t="s">
        <v>1016</v>
      </c>
      <c r="AL8" s="209" t="s">
        <v>1018</v>
      </c>
      <c r="AM8" s="209" t="s">
        <v>1017</v>
      </c>
      <c r="AN8" s="209" t="s">
        <v>1019</v>
      </c>
      <c r="AO8" s="256">
        <v>49740</v>
      </c>
      <c r="AP8" s="180">
        <v>17.04</v>
      </c>
      <c r="AQ8" s="175">
        <f t="shared" si="1"/>
        <v>38.378378378378379</v>
      </c>
      <c r="AR8" s="188" t="s">
        <v>1022</v>
      </c>
      <c r="AS8" s="188" t="s">
        <v>1023</v>
      </c>
      <c r="AT8" s="237">
        <v>6.5359999999999996</v>
      </c>
      <c r="AU8" s="237">
        <v>1.786</v>
      </c>
      <c r="AV8" s="237">
        <v>13.321999999999999</v>
      </c>
      <c r="AW8" s="191">
        <f t="shared" si="2"/>
        <v>8.9995167425925907E-2</v>
      </c>
      <c r="AX8" s="255">
        <f>0.404</f>
        <v>0.40400000000000003</v>
      </c>
      <c r="AY8" s="255">
        <v>14</v>
      </c>
      <c r="AZ8" s="255">
        <v>7.75</v>
      </c>
      <c r="BA8" s="255">
        <v>6.5</v>
      </c>
      <c r="BB8" s="191">
        <f t="shared" ref="BB8:BB15" si="3">(BA8*AZ8*AY8)/1728</f>
        <v>0.40813078703703703</v>
      </c>
      <c r="BC8" s="237">
        <f>AX8*BE8+0.25</f>
        <v>1.4620000000000002</v>
      </c>
      <c r="BD8" s="193" t="s">
        <v>68</v>
      </c>
      <c r="BE8" s="193">
        <v>3</v>
      </c>
      <c r="BF8" s="193">
        <v>15</v>
      </c>
      <c r="BG8" s="193">
        <v>6</v>
      </c>
      <c r="BH8" s="194">
        <f t="shared" ref="BH8:BH19" si="4">BE8*BF8*BG8</f>
        <v>270</v>
      </c>
      <c r="BI8" s="194">
        <f t="shared" si="0"/>
        <v>181.58</v>
      </c>
      <c r="BJ8" s="215" t="s">
        <v>312</v>
      </c>
      <c r="BK8" s="194" t="s">
        <v>107</v>
      </c>
      <c r="BL8" s="252"/>
      <c r="BM8" s="252"/>
      <c r="BN8" s="252"/>
      <c r="BO8" s="252"/>
      <c r="BP8" s="252"/>
    </row>
    <row r="9" spans="1:68">
      <c r="A9" s="244"/>
      <c r="B9" s="193" t="s">
        <v>1104</v>
      </c>
      <c r="C9" s="215" t="s">
        <v>582</v>
      </c>
      <c r="D9" s="247" t="s">
        <v>989</v>
      </c>
      <c r="E9" s="174" t="s">
        <v>85</v>
      </c>
      <c r="F9" s="246" t="s">
        <v>1105</v>
      </c>
      <c r="G9" s="174" t="s">
        <v>900</v>
      </c>
      <c r="H9" s="246" t="s">
        <v>1106</v>
      </c>
      <c r="I9" s="249"/>
      <c r="J9" s="182"/>
      <c r="K9" s="182"/>
      <c r="L9" s="184"/>
      <c r="M9" s="197"/>
      <c r="N9" s="197"/>
      <c r="O9" s="197"/>
      <c r="P9" s="197"/>
      <c r="Q9" s="197"/>
      <c r="R9" s="197"/>
      <c r="S9" s="197"/>
      <c r="T9" s="197"/>
      <c r="U9" s="182" t="s">
        <v>1107</v>
      </c>
      <c r="V9" s="217"/>
      <c r="W9" s="182">
        <v>83038</v>
      </c>
      <c r="X9" s="217"/>
      <c r="Y9" s="219"/>
      <c r="Z9" s="217"/>
      <c r="AA9" s="219"/>
      <c r="AB9" s="243" t="s">
        <v>1108</v>
      </c>
      <c r="AC9" s="256" t="s">
        <v>1109</v>
      </c>
      <c r="AD9" s="215"/>
      <c r="AE9" s="182" t="s">
        <v>1110</v>
      </c>
      <c r="AF9" s="215"/>
      <c r="AG9" s="215"/>
      <c r="AH9" s="215"/>
      <c r="AI9" s="215"/>
      <c r="AJ9" s="182" t="s">
        <v>1111</v>
      </c>
      <c r="AK9" s="215" t="s">
        <v>1112</v>
      </c>
      <c r="AL9" s="182" t="s">
        <v>1113</v>
      </c>
      <c r="AM9" s="215" t="s">
        <v>1114</v>
      </c>
      <c r="AN9" s="215" t="s">
        <v>1115</v>
      </c>
      <c r="AO9" s="256" t="s">
        <v>1116</v>
      </c>
      <c r="AP9" s="180">
        <v>11.96</v>
      </c>
      <c r="AQ9" s="175">
        <f t="shared" si="1"/>
        <v>26.936936936936938</v>
      </c>
      <c r="AR9" s="188" t="s">
        <v>1117</v>
      </c>
      <c r="AS9" s="188" t="s">
        <v>1118</v>
      </c>
      <c r="AT9" s="237">
        <v>6.5359999999999996</v>
      </c>
      <c r="AU9" s="237">
        <v>1.6559999999999999</v>
      </c>
      <c r="AV9" s="237">
        <v>11.071999999999999</v>
      </c>
      <c r="AW9" s="191">
        <f t="shared" si="2"/>
        <v>6.9351317333333315E-2</v>
      </c>
      <c r="AX9" s="237">
        <v>0.31</v>
      </c>
      <c r="AY9" s="237">
        <v>11.93</v>
      </c>
      <c r="AZ9" s="237">
        <v>8</v>
      </c>
      <c r="BA9" s="237">
        <v>6</v>
      </c>
      <c r="BB9" s="191">
        <f t="shared" si="3"/>
        <v>0.3313888888888889</v>
      </c>
      <c r="BC9" s="255">
        <f>AX9*BE9+0.25</f>
        <v>1.18</v>
      </c>
      <c r="BD9" s="215" t="s">
        <v>68</v>
      </c>
      <c r="BE9" s="193">
        <v>3</v>
      </c>
      <c r="BF9" s="193">
        <v>20</v>
      </c>
      <c r="BG9" s="193">
        <v>7</v>
      </c>
      <c r="BH9" s="194">
        <f t="shared" si="4"/>
        <v>420</v>
      </c>
      <c r="BI9" s="194">
        <f t="shared" si="0"/>
        <v>215.2</v>
      </c>
      <c r="BJ9" s="194" t="s">
        <v>514</v>
      </c>
      <c r="BK9" s="194" t="s">
        <v>107</v>
      </c>
      <c r="BL9" s="199"/>
      <c r="BM9" s="38"/>
      <c r="BN9" s="38"/>
    </row>
    <row r="10" spans="1:68" ht="30">
      <c r="A10" s="244"/>
      <c r="B10" s="193" t="s">
        <v>1119</v>
      </c>
      <c r="C10" s="193" t="s">
        <v>582</v>
      </c>
      <c r="D10" s="247" t="s">
        <v>1086</v>
      </c>
      <c r="E10" s="151" t="s">
        <v>1087</v>
      </c>
      <c r="F10" s="243" t="s">
        <v>1120</v>
      </c>
      <c r="G10" s="174" t="s">
        <v>1121</v>
      </c>
      <c r="H10" s="246" t="s">
        <v>1122</v>
      </c>
      <c r="I10" s="249"/>
      <c r="J10" s="182"/>
      <c r="K10" s="182"/>
      <c r="L10" s="184"/>
      <c r="M10" s="197"/>
      <c r="N10" s="197"/>
      <c r="O10" s="197"/>
      <c r="P10" s="197"/>
      <c r="Q10" s="197"/>
      <c r="R10" s="197"/>
      <c r="S10" s="197"/>
      <c r="T10" s="197"/>
      <c r="U10" s="217"/>
      <c r="V10" s="217"/>
      <c r="W10" s="182">
        <v>83369</v>
      </c>
      <c r="X10" s="217"/>
      <c r="Y10" s="219"/>
      <c r="Z10" s="217"/>
      <c r="AA10" s="219"/>
      <c r="AB10" s="215"/>
      <c r="AC10" s="256" t="s">
        <v>1123</v>
      </c>
      <c r="AD10" s="215"/>
      <c r="AE10" s="215"/>
      <c r="AF10" s="215"/>
      <c r="AG10" s="215" t="s">
        <v>1124</v>
      </c>
      <c r="AH10" s="215"/>
      <c r="AI10" s="215"/>
      <c r="AJ10" s="174"/>
      <c r="AK10" s="215"/>
      <c r="AL10" s="215" t="s">
        <v>1119</v>
      </c>
      <c r="AM10" s="215"/>
      <c r="AN10" s="215"/>
      <c r="AO10" s="215" t="s">
        <v>1125</v>
      </c>
      <c r="AP10" s="180">
        <v>17.37</v>
      </c>
      <c r="AQ10" s="175">
        <f t="shared" si="1"/>
        <v>39.121621621621621</v>
      </c>
      <c r="AR10" s="188" t="s">
        <v>1126</v>
      </c>
      <c r="AS10" s="188" t="s">
        <v>1127</v>
      </c>
      <c r="AT10" s="395" t="s">
        <v>720</v>
      </c>
      <c r="AU10" s="396"/>
      <c r="AV10" s="396"/>
      <c r="AW10" s="396"/>
      <c r="AX10" s="397"/>
      <c r="AY10" s="237">
        <v>12.25</v>
      </c>
      <c r="AZ10" s="237">
        <v>9</v>
      </c>
      <c r="BA10" s="237">
        <v>7.88</v>
      </c>
      <c r="BB10" s="191">
        <f t="shared" si="3"/>
        <v>0.50276041666666671</v>
      </c>
      <c r="BC10" s="237">
        <v>2.71</v>
      </c>
      <c r="BD10" s="215" t="s">
        <v>68</v>
      </c>
      <c r="BE10" s="193">
        <v>6</v>
      </c>
      <c r="BF10" s="193">
        <v>16</v>
      </c>
      <c r="BG10" s="193">
        <v>5</v>
      </c>
      <c r="BH10" s="194">
        <f t="shared" si="4"/>
        <v>480</v>
      </c>
      <c r="BI10" s="194">
        <f t="shared" si="0"/>
        <v>266.8</v>
      </c>
      <c r="BJ10" s="194" t="s">
        <v>240</v>
      </c>
      <c r="BK10" s="194" t="s">
        <v>107</v>
      </c>
      <c r="BL10" s="199"/>
      <c r="BM10" s="38"/>
      <c r="BN10" s="38"/>
    </row>
    <row r="11" spans="1:68" ht="30">
      <c r="A11" s="244"/>
      <c r="B11" s="193" t="s">
        <v>1128</v>
      </c>
      <c r="C11" s="215" t="s">
        <v>582</v>
      </c>
      <c r="D11" s="247" t="s">
        <v>1086</v>
      </c>
      <c r="E11" s="151" t="s">
        <v>1087</v>
      </c>
      <c r="F11" s="243" t="s">
        <v>1129</v>
      </c>
      <c r="G11" s="246" t="s">
        <v>256</v>
      </c>
      <c r="H11" s="215" t="s">
        <v>1130</v>
      </c>
      <c r="I11" s="246" t="s">
        <v>256</v>
      </c>
      <c r="J11" s="182" t="s">
        <v>1131</v>
      </c>
      <c r="K11" s="182"/>
      <c r="L11" s="184"/>
      <c r="M11" s="197"/>
      <c r="N11" s="197"/>
      <c r="O11" s="197"/>
      <c r="P11" s="197"/>
      <c r="Q11" s="197"/>
      <c r="R11" s="197"/>
      <c r="S11" s="197"/>
      <c r="T11" s="197"/>
      <c r="U11" s="217"/>
      <c r="V11" s="217"/>
      <c r="W11" s="182"/>
      <c r="X11" s="217"/>
      <c r="Y11" s="219"/>
      <c r="Z11" s="217"/>
      <c r="AA11" s="219"/>
      <c r="AB11" s="182" t="s">
        <v>1132</v>
      </c>
      <c r="AC11" s="256" t="s">
        <v>1133</v>
      </c>
      <c r="AD11" s="182" t="s">
        <v>1134</v>
      </c>
      <c r="AE11" s="215"/>
      <c r="AF11" s="215"/>
      <c r="AG11" s="182" t="s">
        <v>1135</v>
      </c>
      <c r="AH11" s="215"/>
      <c r="AI11" s="215"/>
      <c r="AJ11" s="182" t="s">
        <v>1136</v>
      </c>
      <c r="AK11" s="215" t="s">
        <v>1137</v>
      </c>
      <c r="AL11" s="182" t="s">
        <v>1128</v>
      </c>
      <c r="AM11" s="215" t="s">
        <v>1137</v>
      </c>
      <c r="AN11" s="215" t="s">
        <v>1138</v>
      </c>
      <c r="AO11" s="215" t="s">
        <v>1139</v>
      </c>
      <c r="AP11" s="180">
        <v>30.76</v>
      </c>
      <c r="AQ11" s="175">
        <f t="shared" si="1"/>
        <v>69.27927927927928</v>
      </c>
      <c r="AR11" s="188" t="s">
        <v>1140</v>
      </c>
      <c r="AS11" s="188" t="s">
        <v>1141</v>
      </c>
      <c r="AT11" s="395" t="s">
        <v>720</v>
      </c>
      <c r="AU11" s="396"/>
      <c r="AV11" s="396"/>
      <c r="AW11" s="396"/>
      <c r="AX11" s="397"/>
      <c r="AY11" s="237">
        <v>13.25</v>
      </c>
      <c r="AZ11" s="237">
        <v>10</v>
      </c>
      <c r="BA11" s="237">
        <v>6.25</v>
      </c>
      <c r="BB11" s="191">
        <f t="shared" si="3"/>
        <v>0.47923900462962965</v>
      </c>
      <c r="BC11" s="237">
        <v>1.27</v>
      </c>
      <c r="BD11" s="215" t="s">
        <v>68</v>
      </c>
      <c r="BE11" s="193">
        <v>6</v>
      </c>
      <c r="BF11" s="193">
        <v>14</v>
      </c>
      <c r="BG11" s="193">
        <v>7</v>
      </c>
      <c r="BH11" s="194">
        <f t="shared" si="4"/>
        <v>588</v>
      </c>
      <c r="BI11" s="194">
        <f t="shared" si="0"/>
        <v>174.46</v>
      </c>
      <c r="BJ11" s="194" t="s">
        <v>240</v>
      </c>
      <c r="BK11" s="194" t="s">
        <v>107</v>
      </c>
      <c r="BL11" s="199"/>
      <c r="BM11" s="38"/>
      <c r="BN11" s="38"/>
    </row>
    <row r="12" spans="1:68" ht="30">
      <c r="A12" s="244"/>
      <c r="B12" s="193" t="s">
        <v>1142</v>
      </c>
      <c r="C12" s="193" t="s">
        <v>582</v>
      </c>
      <c r="D12" s="247" t="s">
        <v>1086</v>
      </c>
      <c r="E12" s="151" t="s">
        <v>1087</v>
      </c>
      <c r="F12" s="243" t="s">
        <v>1143</v>
      </c>
      <c r="G12" s="174" t="s">
        <v>907</v>
      </c>
      <c r="H12" s="246">
        <v>2048300018</v>
      </c>
      <c r="I12" s="249"/>
      <c r="J12" s="182"/>
      <c r="K12" s="182"/>
      <c r="L12" s="184"/>
      <c r="M12" s="197"/>
      <c r="N12" s="197"/>
      <c r="O12" s="197"/>
      <c r="P12" s="197"/>
      <c r="Q12" s="197"/>
      <c r="R12" s="197"/>
      <c r="S12" s="197"/>
      <c r="T12" s="197"/>
      <c r="U12" s="217"/>
      <c r="V12" s="217"/>
      <c r="W12" s="182"/>
      <c r="X12" s="217"/>
      <c r="Y12" s="219"/>
      <c r="Z12" s="217"/>
      <c r="AA12" s="219"/>
      <c r="AB12" s="215"/>
      <c r="AC12" s="256" t="s">
        <v>1144</v>
      </c>
      <c r="AD12" s="182" t="s">
        <v>1145</v>
      </c>
      <c r="AE12" s="215"/>
      <c r="AF12" s="215"/>
      <c r="AG12" s="182" t="s">
        <v>1146</v>
      </c>
      <c r="AH12" s="215"/>
      <c r="AI12" s="215"/>
      <c r="AJ12" s="174">
        <v>9357</v>
      </c>
      <c r="AK12" s="215" t="s">
        <v>1147</v>
      </c>
      <c r="AL12" s="182" t="s">
        <v>1142</v>
      </c>
      <c r="AM12" s="215" t="s">
        <v>1148</v>
      </c>
      <c r="AN12" s="215" t="s">
        <v>1149</v>
      </c>
      <c r="AO12" s="215" t="s">
        <v>1150</v>
      </c>
      <c r="AP12" s="180">
        <v>28.49</v>
      </c>
      <c r="AQ12" s="175">
        <f t="shared" si="1"/>
        <v>64.166666666666657</v>
      </c>
      <c r="AR12" s="188" t="s">
        <v>1151</v>
      </c>
      <c r="AS12" s="188" t="s">
        <v>1152</v>
      </c>
      <c r="AT12" s="395" t="s">
        <v>720</v>
      </c>
      <c r="AU12" s="396"/>
      <c r="AV12" s="396"/>
      <c r="AW12" s="396"/>
      <c r="AX12" s="397"/>
      <c r="AY12" s="237">
        <v>22.12</v>
      </c>
      <c r="AZ12" s="237">
        <v>12.62</v>
      </c>
      <c r="BA12" s="237">
        <v>12.87</v>
      </c>
      <c r="BB12" s="191">
        <f t="shared" si="3"/>
        <v>2.0791187083333331</v>
      </c>
      <c r="BC12" s="237">
        <v>5.86</v>
      </c>
      <c r="BD12" s="215" t="s">
        <v>68</v>
      </c>
      <c r="BE12" s="193">
        <v>6</v>
      </c>
      <c r="BF12" s="193">
        <v>6</v>
      </c>
      <c r="BG12" s="193">
        <v>3</v>
      </c>
      <c r="BH12" s="194">
        <f t="shared" si="4"/>
        <v>108</v>
      </c>
      <c r="BI12" s="194">
        <f t="shared" si="0"/>
        <v>155.48000000000002</v>
      </c>
      <c r="BJ12" s="194" t="s">
        <v>240</v>
      </c>
      <c r="BK12" s="194" t="s">
        <v>107</v>
      </c>
      <c r="BL12" s="199"/>
      <c r="BM12" s="38"/>
      <c r="BN12" s="38"/>
    </row>
    <row r="13" spans="1:68" ht="30">
      <c r="A13" s="244"/>
      <c r="B13" s="193" t="s">
        <v>1153</v>
      </c>
      <c r="C13" s="215" t="s">
        <v>582</v>
      </c>
      <c r="D13" s="247" t="s">
        <v>1086</v>
      </c>
      <c r="E13" s="151" t="s">
        <v>1087</v>
      </c>
      <c r="F13" s="243" t="s">
        <v>1154</v>
      </c>
      <c r="G13" s="174" t="s">
        <v>697</v>
      </c>
      <c r="H13" s="246" t="s">
        <v>1155</v>
      </c>
      <c r="I13" s="174" t="s">
        <v>697</v>
      </c>
      <c r="J13" s="182" t="s">
        <v>1156</v>
      </c>
      <c r="K13" s="182"/>
      <c r="L13" s="184"/>
      <c r="M13" s="197"/>
      <c r="N13" s="197"/>
      <c r="O13" s="197"/>
      <c r="P13" s="197"/>
      <c r="Q13" s="197"/>
      <c r="R13" s="197"/>
      <c r="S13" s="197"/>
      <c r="T13" s="197"/>
      <c r="U13" s="217"/>
      <c r="V13" s="217"/>
      <c r="W13" s="182">
        <v>89300</v>
      </c>
      <c r="X13" s="217"/>
      <c r="Y13" s="219"/>
      <c r="Z13" s="217"/>
      <c r="AA13" s="219"/>
      <c r="AB13" s="243" t="s">
        <v>1157</v>
      </c>
      <c r="AC13" s="215"/>
      <c r="AD13" s="215"/>
      <c r="AE13" s="215"/>
      <c r="AF13" s="215"/>
      <c r="AG13" s="215"/>
      <c r="AH13" s="215"/>
      <c r="AI13" s="215"/>
      <c r="AJ13" s="174">
        <v>4300</v>
      </c>
      <c r="AK13" s="215" t="s">
        <v>1158</v>
      </c>
      <c r="AL13" s="182" t="s">
        <v>1153</v>
      </c>
      <c r="AM13" s="215" t="s">
        <v>1158</v>
      </c>
      <c r="AN13" s="215" t="s">
        <v>1159</v>
      </c>
      <c r="AO13" s="215" t="s">
        <v>1160</v>
      </c>
      <c r="AP13" s="180">
        <v>25.57</v>
      </c>
      <c r="AQ13" s="175">
        <f t="shared" si="1"/>
        <v>57.590090090090087</v>
      </c>
      <c r="AR13" s="188" t="s">
        <v>1161</v>
      </c>
      <c r="AS13" s="188" t="s">
        <v>1162</v>
      </c>
      <c r="AT13" s="395" t="s">
        <v>720</v>
      </c>
      <c r="AU13" s="396"/>
      <c r="AV13" s="396"/>
      <c r="AW13" s="396"/>
      <c r="AX13" s="397"/>
      <c r="AY13" s="237">
        <v>12</v>
      </c>
      <c r="AZ13" s="237">
        <v>10.37</v>
      </c>
      <c r="BA13" s="237">
        <v>10.62</v>
      </c>
      <c r="BB13" s="191">
        <f t="shared" si="3"/>
        <v>0.76478749999999995</v>
      </c>
      <c r="BC13" s="237">
        <v>1.9</v>
      </c>
      <c r="BD13" s="215" t="s">
        <v>68</v>
      </c>
      <c r="BE13" s="193">
        <v>6</v>
      </c>
      <c r="BF13" s="193">
        <v>12</v>
      </c>
      <c r="BG13" s="193">
        <v>4</v>
      </c>
      <c r="BH13" s="194">
        <f t="shared" si="4"/>
        <v>288</v>
      </c>
      <c r="BI13" s="194">
        <f t="shared" si="0"/>
        <v>141.19999999999999</v>
      </c>
      <c r="BJ13" s="194" t="s">
        <v>240</v>
      </c>
      <c r="BK13" s="194" t="s">
        <v>107</v>
      </c>
      <c r="BL13" s="199"/>
      <c r="BM13" s="38"/>
      <c r="BN13" s="38"/>
    </row>
    <row r="14" spans="1:68" ht="30">
      <c r="A14" s="244"/>
      <c r="B14" s="193" t="s">
        <v>1163</v>
      </c>
      <c r="C14" s="193" t="s">
        <v>582</v>
      </c>
      <c r="D14" s="247" t="s">
        <v>1086</v>
      </c>
      <c r="E14" s="151" t="s">
        <v>1087</v>
      </c>
      <c r="F14" s="243" t="s">
        <v>1164</v>
      </c>
      <c r="G14" s="174" t="s">
        <v>1165</v>
      </c>
      <c r="H14" s="246">
        <v>64316945586</v>
      </c>
      <c r="I14" s="249"/>
      <c r="J14" s="182"/>
      <c r="K14" s="182"/>
      <c r="L14" s="184"/>
      <c r="M14" s="197"/>
      <c r="N14" s="197"/>
      <c r="O14" s="197"/>
      <c r="P14" s="197"/>
      <c r="Q14" s="197"/>
      <c r="R14" s="197"/>
      <c r="S14" s="197"/>
      <c r="T14" s="197"/>
      <c r="U14" s="217"/>
      <c r="V14" s="217"/>
      <c r="W14" s="182">
        <v>83585</v>
      </c>
      <c r="X14" s="217"/>
      <c r="Y14" s="219"/>
      <c r="Z14" s="217"/>
      <c r="AA14" s="219"/>
      <c r="AB14" s="215"/>
      <c r="AC14" s="256" t="s">
        <v>1166</v>
      </c>
      <c r="AD14" s="182" t="s">
        <v>1167</v>
      </c>
      <c r="AE14" s="215"/>
      <c r="AF14" s="215"/>
      <c r="AG14" s="182" t="s">
        <v>1168</v>
      </c>
      <c r="AH14" s="215"/>
      <c r="AI14" s="215"/>
      <c r="AJ14" s="182" t="s">
        <v>1169</v>
      </c>
      <c r="AK14" s="215" t="s">
        <v>1170</v>
      </c>
      <c r="AL14" s="215"/>
      <c r="AM14" s="215"/>
      <c r="AN14" s="215"/>
      <c r="AO14" s="215" t="s">
        <v>1171</v>
      </c>
      <c r="AP14" s="180">
        <v>72.489999999999995</v>
      </c>
      <c r="AQ14" s="175">
        <f t="shared" si="1"/>
        <v>163.26576576576576</v>
      </c>
      <c r="AR14" s="188" t="s">
        <v>1172</v>
      </c>
      <c r="AS14" s="188" t="s">
        <v>1173</v>
      </c>
      <c r="AT14" s="395" t="s">
        <v>720</v>
      </c>
      <c r="AU14" s="396"/>
      <c r="AV14" s="396"/>
      <c r="AW14" s="396"/>
      <c r="AX14" s="397"/>
      <c r="AY14" s="237">
        <v>16.37</v>
      </c>
      <c r="AZ14" s="237">
        <v>12.5</v>
      </c>
      <c r="BA14" s="237">
        <v>12.75</v>
      </c>
      <c r="BB14" s="191">
        <f t="shared" si="3"/>
        <v>1.5098198784722223</v>
      </c>
      <c r="BC14" s="237">
        <v>6.58</v>
      </c>
      <c r="BD14" s="215" t="s">
        <v>68</v>
      </c>
      <c r="BE14" s="193">
        <v>6</v>
      </c>
      <c r="BF14" s="193">
        <v>8</v>
      </c>
      <c r="BG14" s="193">
        <v>3</v>
      </c>
      <c r="BH14" s="194">
        <f t="shared" si="4"/>
        <v>144</v>
      </c>
      <c r="BI14" s="194">
        <f t="shared" si="0"/>
        <v>207.92000000000002</v>
      </c>
      <c r="BJ14" s="194" t="s">
        <v>240</v>
      </c>
      <c r="BK14" s="194" t="s">
        <v>107</v>
      </c>
      <c r="BL14" s="199"/>
      <c r="BM14" s="38"/>
      <c r="BN14" s="38"/>
    </row>
    <row r="15" spans="1:68" ht="30">
      <c r="A15" s="244">
        <v>41699</v>
      </c>
      <c r="B15" s="193" t="s">
        <v>1174</v>
      </c>
      <c r="C15" s="193" t="s">
        <v>582</v>
      </c>
      <c r="D15" s="247" t="s">
        <v>991</v>
      </c>
      <c r="E15" s="246" t="s">
        <v>304</v>
      </c>
      <c r="F15" s="243" t="s">
        <v>1175</v>
      </c>
      <c r="G15" s="174" t="s">
        <v>907</v>
      </c>
      <c r="H15" s="246" t="s">
        <v>1176</v>
      </c>
      <c r="I15" s="249"/>
      <c r="J15" s="182"/>
      <c r="K15" s="182"/>
      <c r="L15" s="184"/>
      <c r="M15" s="197"/>
      <c r="N15" s="197"/>
      <c r="O15" s="197"/>
      <c r="P15" s="197"/>
      <c r="Q15" s="197"/>
      <c r="R15" s="197"/>
      <c r="S15" s="197"/>
      <c r="T15" s="197"/>
      <c r="U15" s="217"/>
      <c r="V15" s="217"/>
      <c r="W15" s="182"/>
      <c r="X15" s="217"/>
      <c r="Y15" s="219"/>
      <c r="Z15" s="217"/>
      <c r="AA15" s="219"/>
      <c r="AB15" s="243" t="s">
        <v>1177</v>
      </c>
      <c r="AC15" s="215"/>
      <c r="AD15" s="215" t="s">
        <v>1178</v>
      </c>
      <c r="AE15" s="215"/>
      <c r="AF15" s="215"/>
      <c r="AG15" s="215" t="s">
        <v>1179</v>
      </c>
      <c r="AH15" s="215"/>
      <c r="AI15" s="215"/>
      <c r="AJ15" s="174"/>
      <c r="AK15" s="215" t="s">
        <v>1180</v>
      </c>
      <c r="AL15" s="215"/>
      <c r="AM15" s="215" t="s">
        <v>1181</v>
      </c>
      <c r="AN15" s="215" t="s">
        <v>1182</v>
      </c>
      <c r="AO15" s="215"/>
      <c r="AP15" s="180">
        <v>34.69</v>
      </c>
      <c r="AQ15" s="175">
        <f t="shared" si="1"/>
        <v>78.13063063063062</v>
      </c>
      <c r="AR15" s="188" t="s">
        <v>1183</v>
      </c>
      <c r="AS15" s="188" t="s">
        <v>1184</v>
      </c>
      <c r="AT15" s="237">
        <v>2.9060000000000001</v>
      </c>
      <c r="AU15" s="237">
        <v>2.9060000000000001</v>
      </c>
      <c r="AV15" s="237">
        <v>6.6920000000000002</v>
      </c>
      <c r="AW15" s="191">
        <f t="shared" si="2"/>
        <v>3.2704191268518527E-2</v>
      </c>
      <c r="AX15" s="237">
        <v>0.6</v>
      </c>
      <c r="AY15" s="237">
        <v>9.3800000000000008</v>
      </c>
      <c r="AZ15" s="237">
        <v>6.5</v>
      </c>
      <c r="BA15" s="237">
        <v>7.38</v>
      </c>
      <c r="BB15" s="191">
        <f t="shared" si="3"/>
        <v>0.26039270833333333</v>
      </c>
      <c r="BC15" s="237">
        <f>AX15*BE15+0.25</f>
        <v>3.8499999999999996</v>
      </c>
      <c r="BD15" s="215" t="s">
        <v>68</v>
      </c>
      <c r="BE15" s="193">
        <v>6</v>
      </c>
      <c r="BF15" s="193">
        <v>30</v>
      </c>
      <c r="BG15" s="193">
        <v>6</v>
      </c>
      <c r="BH15" s="194">
        <f t="shared" si="4"/>
        <v>1080</v>
      </c>
      <c r="BI15" s="194">
        <f t="shared" si="0"/>
        <v>742.99999999999989</v>
      </c>
      <c r="BJ15" s="194" t="s">
        <v>711</v>
      </c>
      <c r="BK15" s="194" t="s">
        <v>107</v>
      </c>
      <c r="BL15" s="199"/>
      <c r="BM15" s="38"/>
      <c r="BN15" s="38"/>
    </row>
    <row r="16" spans="1:68">
      <c r="A16" s="244">
        <v>41699</v>
      </c>
      <c r="B16" s="215" t="s">
        <v>1185</v>
      </c>
      <c r="C16" s="193" t="s">
        <v>582</v>
      </c>
      <c r="D16" s="247" t="s">
        <v>989</v>
      </c>
      <c r="E16" s="174" t="s">
        <v>85</v>
      </c>
      <c r="F16" s="246" t="s">
        <v>1186</v>
      </c>
      <c r="G16" s="174" t="s">
        <v>728</v>
      </c>
      <c r="H16" s="215" t="s">
        <v>1187</v>
      </c>
      <c r="I16" s="249"/>
      <c r="J16" s="182"/>
      <c r="K16" s="182"/>
      <c r="L16" s="184"/>
      <c r="M16" s="197"/>
      <c r="N16" s="197"/>
      <c r="O16" s="197"/>
      <c r="P16" s="197"/>
      <c r="Q16" s="197"/>
      <c r="R16" s="197"/>
      <c r="S16" s="197"/>
      <c r="T16" s="197"/>
      <c r="U16" s="217"/>
      <c r="V16" s="217"/>
      <c r="W16" s="182">
        <v>83390</v>
      </c>
      <c r="X16" s="217"/>
      <c r="Y16" s="219"/>
      <c r="Z16" s="217"/>
      <c r="AA16" s="219"/>
      <c r="AB16" s="215" t="s">
        <v>1188</v>
      </c>
      <c r="AC16" s="256" t="s">
        <v>1189</v>
      </c>
      <c r="AD16" s="215"/>
      <c r="AE16" s="215" t="s">
        <v>1190</v>
      </c>
      <c r="AF16" s="215"/>
      <c r="AG16" s="215"/>
      <c r="AH16" s="215"/>
      <c r="AI16" s="215"/>
      <c r="AJ16" s="174">
        <v>9390</v>
      </c>
      <c r="AK16" s="215" t="s">
        <v>1191</v>
      </c>
      <c r="AL16" s="215"/>
      <c r="AM16" s="215" t="s">
        <v>1192</v>
      </c>
      <c r="AN16" s="215" t="s">
        <v>1193</v>
      </c>
      <c r="AO16" s="256" t="s">
        <v>1194</v>
      </c>
      <c r="AP16" s="180">
        <v>33.74</v>
      </c>
      <c r="AQ16" s="175">
        <f t="shared" si="1"/>
        <v>75.990990990990994</v>
      </c>
      <c r="AR16" s="188" t="s">
        <v>1195</v>
      </c>
      <c r="AS16" s="188" t="s">
        <v>1196</v>
      </c>
      <c r="AT16" s="237">
        <v>7.7859999999999996</v>
      </c>
      <c r="AU16" s="237">
        <v>2.536</v>
      </c>
      <c r="AV16" s="237">
        <v>9.0719999999999992</v>
      </c>
      <c r="AW16" s="191">
        <f t="shared" si="2"/>
        <v>0.10366280399999998</v>
      </c>
      <c r="AX16" s="255">
        <v>0.46400000000000002</v>
      </c>
      <c r="AY16" s="255">
        <v>9.75</v>
      </c>
      <c r="AZ16" s="255">
        <v>8.18</v>
      </c>
      <c r="BA16" s="255">
        <v>8.5</v>
      </c>
      <c r="BB16" s="191">
        <f>(BA16*AZ16*AY16)/1728</f>
        <v>0.39231336805555556</v>
      </c>
      <c r="BC16" s="237">
        <f>AX16*BE16+0.25</f>
        <v>1.6420000000000001</v>
      </c>
      <c r="BD16" s="215" t="s">
        <v>68</v>
      </c>
      <c r="BE16" s="193">
        <v>3</v>
      </c>
      <c r="BF16" s="193">
        <v>20</v>
      </c>
      <c r="BG16" s="193">
        <v>5</v>
      </c>
      <c r="BH16" s="194">
        <f t="shared" si="4"/>
        <v>300</v>
      </c>
      <c r="BI16" s="194">
        <f t="shared" si="0"/>
        <v>214.20000000000002</v>
      </c>
      <c r="BJ16" s="194" t="s">
        <v>240</v>
      </c>
      <c r="BK16" s="194" t="s">
        <v>107</v>
      </c>
      <c r="BL16" s="199"/>
      <c r="BM16" s="38"/>
      <c r="BN16" s="38"/>
    </row>
    <row r="17" spans="1:66">
      <c r="A17" s="244">
        <v>41699</v>
      </c>
      <c r="B17" s="215" t="s">
        <v>1197</v>
      </c>
      <c r="C17" s="193" t="s">
        <v>582</v>
      </c>
      <c r="D17" s="247" t="s">
        <v>989</v>
      </c>
      <c r="E17" s="174" t="s">
        <v>85</v>
      </c>
      <c r="F17" s="196" t="s">
        <v>1198</v>
      </c>
      <c r="G17" s="174" t="s">
        <v>282</v>
      </c>
      <c r="H17" s="193">
        <v>15909459</v>
      </c>
      <c r="I17" s="174" t="s">
        <v>282</v>
      </c>
      <c r="J17" s="193">
        <v>20774655</v>
      </c>
      <c r="K17" s="249" t="s">
        <v>1007</v>
      </c>
      <c r="L17" s="182" t="s">
        <v>1199</v>
      </c>
      <c r="M17" s="197"/>
      <c r="N17" s="197"/>
      <c r="O17" s="197"/>
      <c r="P17" s="197"/>
      <c r="Q17" s="197"/>
      <c r="R17" s="197"/>
      <c r="S17" s="197"/>
      <c r="T17" s="197"/>
      <c r="U17" s="217"/>
      <c r="V17" s="217"/>
      <c r="W17" s="182">
        <v>83459</v>
      </c>
      <c r="X17" s="217"/>
      <c r="Y17" s="219"/>
      <c r="Z17" s="217"/>
      <c r="AA17" s="219"/>
      <c r="AB17" s="193" t="s">
        <v>1200</v>
      </c>
      <c r="AC17" s="193" t="s">
        <v>1201</v>
      </c>
      <c r="AD17" s="193"/>
      <c r="AE17" s="193"/>
      <c r="AF17" s="193"/>
      <c r="AG17" s="193"/>
      <c r="AH17" s="193"/>
      <c r="AI17" s="193"/>
      <c r="AJ17" s="174">
        <v>9459</v>
      </c>
      <c r="AK17" s="193" t="s">
        <v>1202</v>
      </c>
      <c r="AL17" s="193" t="s">
        <v>1203</v>
      </c>
      <c r="AM17" s="193" t="s">
        <v>1204</v>
      </c>
      <c r="AN17" s="193" t="s">
        <v>1205</v>
      </c>
      <c r="AO17" s="193">
        <v>49459</v>
      </c>
      <c r="AP17" s="180">
        <v>54.95</v>
      </c>
      <c r="AQ17" s="175">
        <f t="shared" si="1"/>
        <v>123.76126126126127</v>
      </c>
      <c r="AR17" s="188" t="s">
        <v>1206</v>
      </c>
      <c r="AS17" s="188" t="s">
        <v>1207</v>
      </c>
      <c r="AT17" s="237">
        <v>4.6559999999999997</v>
      </c>
      <c r="AU17" s="237">
        <v>4.6559999999999997</v>
      </c>
      <c r="AV17" s="237">
        <v>8.8219999999999992</v>
      </c>
      <c r="AW17" s="191">
        <f t="shared" si="2"/>
        <v>0.11067493066666663</v>
      </c>
      <c r="AX17" s="255">
        <v>1.6</v>
      </c>
      <c r="AY17" s="255">
        <v>15.305999999999999</v>
      </c>
      <c r="AZ17" s="255">
        <v>9.3059999999999992</v>
      </c>
      <c r="BA17" s="255">
        <v>5.7320000000000002</v>
      </c>
      <c r="BB17" s="191">
        <f>(BA17*AZ17*AY17)/1728</f>
        <v>0.47248410274999991</v>
      </c>
      <c r="BC17" s="255">
        <f>AX17*BE17+0.25</f>
        <v>5.0500000000000007</v>
      </c>
      <c r="BD17" s="215" t="s">
        <v>68</v>
      </c>
      <c r="BE17" s="193">
        <v>3</v>
      </c>
      <c r="BF17" s="193">
        <v>13</v>
      </c>
      <c r="BG17" s="193">
        <v>8</v>
      </c>
      <c r="BH17" s="194">
        <f t="shared" si="4"/>
        <v>312</v>
      </c>
      <c r="BI17" s="194">
        <f t="shared" si="0"/>
        <v>575.20000000000005</v>
      </c>
      <c r="BJ17" s="194" t="s">
        <v>65</v>
      </c>
      <c r="BK17" s="194" t="s">
        <v>107</v>
      </c>
      <c r="BL17" s="199"/>
      <c r="BM17" s="38"/>
      <c r="BN17" s="38"/>
    </row>
    <row r="18" spans="1:66" ht="30">
      <c r="A18" s="244">
        <v>41699</v>
      </c>
      <c r="B18" s="215" t="s">
        <v>1208</v>
      </c>
      <c r="C18" s="210" t="s">
        <v>541</v>
      </c>
      <c r="D18" s="247" t="s">
        <v>989</v>
      </c>
      <c r="E18" s="174" t="s">
        <v>85</v>
      </c>
      <c r="F18" s="246" t="s">
        <v>1209</v>
      </c>
      <c r="G18" s="193" t="s">
        <v>420</v>
      </c>
      <c r="H18" s="193" t="s">
        <v>1210</v>
      </c>
      <c r="I18" s="249" t="s">
        <v>1211</v>
      </c>
      <c r="J18" s="182" t="s">
        <v>1212</v>
      </c>
      <c r="K18" s="182" t="s">
        <v>51</v>
      </c>
      <c r="L18" s="184" t="s">
        <v>1213</v>
      </c>
      <c r="M18" s="197"/>
      <c r="N18" s="197"/>
      <c r="O18" s="197"/>
      <c r="P18" s="197"/>
      <c r="Q18" s="197"/>
      <c r="R18" s="197"/>
      <c r="S18" s="197"/>
      <c r="T18" s="197"/>
      <c r="U18" s="217"/>
      <c r="V18" s="217"/>
      <c r="W18" s="182"/>
      <c r="X18" s="217"/>
      <c r="Y18" s="219"/>
      <c r="Z18" s="217"/>
      <c r="AA18" s="219"/>
      <c r="AB18" s="193"/>
      <c r="AC18" s="193"/>
      <c r="AD18" s="193"/>
      <c r="AE18" s="193"/>
      <c r="AF18" s="193"/>
      <c r="AG18" s="193"/>
      <c r="AH18" s="193"/>
      <c r="AI18" s="193"/>
      <c r="AJ18" s="174"/>
      <c r="AK18" s="193"/>
      <c r="AL18" s="193"/>
      <c r="AM18" s="193" t="s">
        <v>1214</v>
      </c>
      <c r="AN18" s="193" t="s">
        <v>1214</v>
      </c>
      <c r="AO18" s="193"/>
      <c r="AP18" s="180">
        <v>26.63</v>
      </c>
      <c r="AQ18" s="175">
        <f t="shared" si="1"/>
        <v>59.977477477477471</v>
      </c>
      <c r="AR18" s="188" t="s">
        <v>1215</v>
      </c>
      <c r="AS18" s="188" t="s">
        <v>1216</v>
      </c>
      <c r="AT18" s="237">
        <v>6.7859999999999996</v>
      </c>
      <c r="AU18" s="237">
        <v>4.9059999999999997</v>
      </c>
      <c r="AV18" s="237">
        <v>8.5719999999999992</v>
      </c>
      <c r="AW18" s="191">
        <f t="shared" si="2"/>
        <v>0.16515047358333329</v>
      </c>
      <c r="AX18" s="255">
        <v>0.2</v>
      </c>
      <c r="AY18" s="255">
        <v>15.38</v>
      </c>
      <c r="AZ18" s="255">
        <v>7.25</v>
      </c>
      <c r="BA18" s="255">
        <v>9.1199999999999992</v>
      </c>
      <c r="BB18" s="191">
        <f>(BA18*AZ18*AY18)/1728</f>
        <v>0.58849861111111101</v>
      </c>
      <c r="BC18" s="255">
        <f>AX18*BE18+0.25</f>
        <v>0.85000000000000009</v>
      </c>
      <c r="BD18" s="215" t="s">
        <v>68</v>
      </c>
      <c r="BE18" s="193">
        <v>3</v>
      </c>
      <c r="BF18" s="193">
        <v>15</v>
      </c>
      <c r="BG18" s="193">
        <v>4</v>
      </c>
      <c r="BH18" s="194">
        <f t="shared" si="4"/>
        <v>180</v>
      </c>
      <c r="BI18" s="194">
        <f t="shared" si="0"/>
        <v>101</v>
      </c>
      <c r="BJ18" s="194" t="s">
        <v>65</v>
      </c>
      <c r="BK18" s="194" t="s">
        <v>107</v>
      </c>
      <c r="BL18" s="199"/>
      <c r="BM18" s="38"/>
      <c r="BN18" s="38"/>
    </row>
    <row r="19" spans="1:66" ht="30">
      <c r="A19" s="244">
        <v>41699</v>
      </c>
      <c r="B19" s="215" t="s">
        <v>1217</v>
      </c>
      <c r="C19" s="193" t="s">
        <v>582</v>
      </c>
      <c r="D19" s="247" t="s">
        <v>1086</v>
      </c>
      <c r="E19" s="243" t="s">
        <v>1087</v>
      </c>
      <c r="F19" s="214" t="s">
        <v>1218</v>
      </c>
      <c r="G19" s="176" t="s">
        <v>256</v>
      </c>
      <c r="H19" s="257" t="s">
        <v>1219</v>
      </c>
      <c r="I19" s="176" t="s">
        <v>256</v>
      </c>
      <c r="J19" s="182" t="s">
        <v>1220</v>
      </c>
      <c r="K19" s="182"/>
      <c r="L19" s="184"/>
      <c r="M19" s="197"/>
      <c r="N19" s="197"/>
      <c r="O19" s="197"/>
      <c r="P19" s="197"/>
      <c r="Q19" s="197"/>
      <c r="R19" s="197"/>
      <c r="S19" s="197"/>
      <c r="T19" s="197"/>
      <c r="U19" s="217"/>
      <c r="V19" s="217"/>
      <c r="W19" s="182">
        <v>83093</v>
      </c>
      <c r="X19" s="217"/>
      <c r="Y19" s="219"/>
      <c r="Z19" s="217"/>
      <c r="AA19" s="219"/>
      <c r="AB19" s="215" t="s">
        <v>1221</v>
      </c>
      <c r="AC19" s="256" t="s">
        <v>1222</v>
      </c>
      <c r="AD19" s="215"/>
      <c r="AE19" s="215"/>
      <c r="AF19" s="215"/>
      <c r="AG19" s="215" t="s">
        <v>1223</v>
      </c>
      <c r="AH19" s="215"/>
      <c r="AI19" s="215"/>
      <c r="AJ19" s="174">
        <v>9093</v>
      </c>
      <c r="AK19" s="215" t="s">
        <v>1224</v>
      </c>
      <c r="AL19" s="215" t="s">
        <v>1217</v>
      </c>
      <c r="AM19" s="215" t="s">
        <v>1224</v>
      </c>
      <c r="AN19" s="215" t="s">
        <v>1225</v>
      </c>
      <c r="AO19" s="215" t="s">
        <v>1226</v>
      </c>
      <c r="AP19" s="180">
        <v>27.57</v>
      </c>
      <c r="AQ19" s="175">
        <f t="shared" si="1"/>
        <v>62.094594594594597</v>
      </c>
      <c r="AR19" s="188" t="s">
        <v>1227</v>
      </c>
      <c r="AS19" s="188" t="s">
        <v>1228</v>
      </c>
      <c r="AT19" s="395" t="s">
        <v>720</v>
      </c>
      <c r="AU19" s="396"/>
      <c r="AV19" s="396"/>
      <c r="AW19" s="396"/>
      <c r="AX19" s="397"/>
      <c r="AY19" s="255">
        <v>4.12</v>
      </c>
      <c r="AZ19" s="255">
        <v>6.25</v>
      </c>
      <c r="BA19" s="255">
        <v>9.25</v>
      </c>
      <c r="BB19" s="191">
        <f>(BA19*AZ19*AY19)/1728</f>
        <v>0.13783998842592593</v>
      </c>
      <c r="BC19" s="255">
        <v>1.6300000000000001</v>
      </c>
      <c r="BD19" s="215" t="s">
        <v>68</v>
      </c>
      <c r="BE19" s="193">
        <v>6</v>
      </c>
      <c r="BF19" s="193">
        <v>30</v>
      </c>
      <c r="BG19" s="193">
        <v>10</v>
      </c>
      <c r="BH19" s="194">
        <f t="shared" si="4"/>
        <v>1800</v>
      </c>
      <c r="BI19" s="194">
        <f t="shared" si="0"/>
        <v>539</v>
      </c>
      <c r="BJ19" s="194" t="s">
        <v>240</v>
      </c>
      <c r="BK19" s="194" t="s">
        <v>107</v>
      </c>
      <c r="BL19" s="199"/>
      <c r="BM19" s="38"/>
      <c r="BN19" s="38"/>
    </row>
    <row r="20" spans="1:66" ht="15" customHeight="1">
      <c r="B20" s="222"/>
      <c r="C20" s="223"/>
      <c r="E20" s="46"/>
      <c r="G20" s="224"/>
      <c r="H20" s="225"/>
      <c r="I20" s="226"/>
      <c r="J20" s="225"/>
      <c r="K20" s="225"/>
      <c r="L20" s="227"/>
      <c r="M20" s="31"/>
      <c r="N20" s="31"/>
      <c r="O20" s="31"/>
      <c r="P20" s="31"/>
      <c r="Q20" s="31"/>
      <c r="R20" s="31"/>
      <c r="S20" s="31"/>
      <c r="T20" s="31"/>
      <c r="U20" s="228"/>
      <c r="V20" s="228"/>
      <c r="W20" s="229"/>
      <c r="X20" s="228"/>
      <c r="Y20" s="229"/>
      <c r="Z20" s="228"/>
      <c r="AA20" s="229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30"/>
      <c r="AQ20" s="231"/>
      <c r="AR20" s="222"/>
      <c r="AS20" s="232"/>
      <c r="AT20" s="233"/>
      <c r="AU20" s="233"/>
      <c r="AV20" s="233"/>
      <c r="AW20" s="233"/>
      <c r="AX20" s="233"/>
      <c r="AY20" s="234"/>
      <c r="AZ20" s="234"/>
      <c r="BA20" s="234"/>
      <c r="BB20" s="235"/>
      <c r="BC20" s="135"/>
      <c r="BD20" s="222"/>
      <c r="BE20" s="222"/>
      <c r="BF20" s="222"/>
      <c r="BG20" s="222"/>
      <c r="BH20" s="236"/>
      <c r="BI20" s="236"/>
      <c r="BJ20" s="236"/>
      <c r="BK20" s="236"/>
      <c r="BL20" s="38"/>
      <c r="BM20" s="38"/>
      <c r="BN20" s="38"/>
    </row>
    <row r="21" spans="1:66" s="146" customFormat="1">
      <c r="B21" s="142"/>
      <c r="C21" s="142"/>
      <c r="D21" s="142"/>
      <c r="E21" s="11"/>
      <c r="F21" s="142"/>
      <c r="G21" s="142"/>
      <c r="H21" s="89"/>
      <c r="I21" s="11"/>
      <c r="J21" s="11"/>
      <c r="K21" s="11"/>
      <c r="U21" s="11"/>
      <c r="AA21" s="11"/>
      <c r="AB21" s="11"/>
      <c r="AP21" s="143"/>
      <c r="AQ21" s="144"/>
      <c r="AR21" s="11"/>
      <c r="AT21" s="86"/>
      <c r="AU21" s="86"/>
      <c r="AV21" s="86"/>
      <c r="AW21" s="11"/>
      <c r="AX21" s="86"/>
      <c r="AY21" s="86"/>
      <c r="AZ21" s="86"/>
      <c r="BA21" s="86"/>
      <c r="BB21" s="11"/>
      <c r="BC21" s="86"/>
      <c r="BD21" s="11"/>
      <c r="BE21" s="11"/>
      <c r="BJ21" s="11"/>
      <c r="BK21" s="89"/>
    </row>
    <row r="22" spans="1:66" ht="7.5" customHeight="1">
      <c r="B22" s="160"/>
      <c r="C22" s="160"/>
      <c r="D22" s="160"/>
      <c r="E22" s="161"/>
      <c r="F22" s="160"/>
      <c r="G22" s="160"/>
      <c r="H22" s="16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1"/>
      <c r="V22" s="162"/>
      <c r="W22" s="162"/>
      <c r="X22" s="162"/>
      <c r="Y22" s="162"/>
      <c r="Z22" s="162"/>
      <c r="AA22" s="161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3"/>
      <c r="AQ22" s="164"/>
      <c r="AR22" s="161"/>
      <c r="AS22" s="162"/>
      <c r="AT22" s="165"/>
      <c r="AU22" s="165"/>
      <c r="AV22" s="165"/>
      <c r="AW22" s="161"/>
      <c r="AX22" s="165"/>
      <c r="AY22" s="165"/>
      <c r="AZ22" s="165"/>
      <c r="BA22" s="165"/>
      <c r="BB22" s="161"/>
      <c r="BC22" s="165"/>
      <c r="BD22" s="161"/>
      <c r="BE22" s="161"/>
      <c r="BF22" s="162"/>
      <c r="BG22" s="162"/>
      <c r="BH22" s="162"/>
      <c r="BI22" s="162"/>
      <c r="BJ22" s="161"/>
      <c r="BK22" s="166"/>
      <c r="BL22" s="162"/>
      <c r="BM22" s="146"/>
      <c r="BN22" s="146"/>
    </row>
    <row r="23" spans="1:66" ht="7.5" customHeight="1">
      <c r="B23" s="142"/>
      <c r="C23" s="142"/>
      <c r="D23" s="142"/>
      <c r="F23" s="142"/>
      <c r="G23" s="142"/>
      <c r="H23" s="142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V23" s="146"/>
      <c r="W23" s="146"/>
      <c r="X23" s="146"/>
      <c r="Y23" s="146"/>
      <c r="Z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3"/>
      <c r="AQ23" s="144"/>
      <c r="AS23" s="146"/>
      <c r="AT23" s="86"/>
      <c r="AU23" s="86"/>
      <c r="AV23" s="86"/>
      <c r="AX23" s="86"/>
      <c r="AY23" s="86"/>
      <c r="AZ23" s="86"/>
      <c r="BA23" s="86"/>
      <c r="BC23" s="86"/>
      <c r="BF23" s="146"/>
      <c r="BG23" s="146"/>
      <c r="BH23" s="146"/>
      <c r="BI23" s="146"/>
      <c r="BK23" s="89"/>
      <c r="BL23" s="146"/>
      <c r="BM23" s="146"/>
      <c r="BN23" s="146"/>
    </row>
    <row r="24" spans="1:66" ht="23.25">
      <c r="B24" s="142"/>
      <c r="C24" s="142"/>
      <c r="D24" s="142"/>
      <c r="F24" s="159" t="s">
        <v>542</v>
      </c>
      <c r="H24" s="142"/>
      <c r="V24" s="146"/>
      <c r="W24" s="146"/>
      <c r="X24" s="146"/>
      <c r="Z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3"/>
      <c r="AQ24" s="144"/>
      <c r="AS24" s="146"/>
      <c r="AT24" s="86"/>
      <c r="AU24" s="86"/>
      <c r="AV24" s="86"/>
      <c r="AX24" s="86"/>
      <c r="AY24" s="86"/>
      <c r="AZ24" s="86"/>
      <c r="BA24" s="86"/>
      <c r="BC24" s="86"/>
      <c r="BF24" s="146"/>
      <c r="BG24" s="146"/>
      <c r="BH24" s="146"/>
      <c r="BI24" s="146"/>
      <c r="BK24" s="89"/>
      <c r="BL24" s="146"/>
      <c r="BM24" s="146"/>
      <c r="BN24" s="146"/>
    </row>
    <row r="25" spans="1:66" s="146" customFormat="1">
      <c r="B25" s="142"/>
      <c r="C25" s="142"/>
      <c r="D25" s="142"/>
      <c r="E25" s="11"/>
      <c r="F25" s="142"/>
      <c r="G25" s="142"/>
      <c r="H25" s="14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43"/>
      <c r="AQ25" s="144"/>
      <c r="AR25" s="11"/>
      <c r="AS25" s="11"/>
      <c r="AT25" s="86"/>
      <c r="AU25" s="86"/>
      <c r="AV25" s="86"/>
      <c r="AW25" s="11"/>
      <c r="AX25" s="86"/>
      <c r="AY25" s="86"/>
      <c r="AZ25" s="86"/>
      <c r="BA25" s="86"/>
      <c r="BB25" s="11"/>
      <c r="BC25" s="86"/>
      <c r="BD25" s="11"/>
      <c r="BE25" s="11"/>
      <c r="BF25" s="11"/>
      <c r="BG25" s="11"/>
      <c r="BJ25" s="11"/>
      <c r="BK25" s="89"/>
      <c r="BL25" s="11"/>
      <c r="BM25" s="11"/>
      <c r="BN25" s="11"/>
    </row>
    <row r="26" spans="1:66">
      <c r="B26" s="142"/>
      <c r="C26" s="142"/>
      <c r="D26" s="142"/>
      <c r="F26" s="30" t="s">
        <v>543</v>
      </c>
      <c r="G26" s="32" t="s">
        <v>699</v>
      </c>
      <c r="H26" s="32" t="s">
        <v>544</v>
      </c>
      <c r="AP26" s="143"/>
      <c r="AQ26" s="144"/>
      <c r="AT26" s="86"/>
      <c r="AU26" s="86"/>
      <c r="AV26" s="86"/>
      <c r="AX26" s="86"/>
      <c r="AY26" s="86"/>
      <c r="AZ26" s="86"/>
      <c r="BA26" s="86"/>
      <c r="BC26" s="86"/>
      <c r="BH26" s="146"/>
      <c r="BI26" s="146"/>
      <c r="BK26" s="89"/>
    </row>
    <row r="27" spans="1:66">
      <c r="B27" s="154"/>
      <c r="C27" s="151"/>
      <c r="D27" s="151"/>
      <c r="E27" s="152"/>
      <c r="F27" s="156"/>
      <c r="G27" s="157"/>
      <c r="H27" s="153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V27" s="146"/>
      <c r="W27" s="146"/>
      <c r="X27" s="146"/>
      <c r="Y27" s="146"/>
      <c r="Z27" s="146"/>
      <c r="AE27" s="146"/>
      <c r="AF27" s="146"/>
      <c r="AG27" s="146"/>
      <c r="AH27" s="146"/>
      <c r="AI27" s="146"/>
      <c r="AJ27" s="146"/>
      <c r="AM27" s="146"/>
      <c r="AN27" s="146"/>
      <c r="AO27" s="146"/>
      <c r="AP27" s="143"/>
      <c r="AQ27" s="144"/>
      <c r="AS27" s="146"/>
      <c r="AT27" s="86"/>
      <c r="AU27" s="86"/>
      <c r="AV27" s="86"/>
      <c r="AX27" s="86"/>
      <c r="AY27" s="86"/>
      <c r="AZ27" s="86"/>
      <c r="BA27" s="86"/>
      <c r="BC27" s="86"/>
      <c r="BF27" s="146"/>
      <c r="BG27" s="146"/>
      <c r="BH27" s="146"/>
      <c r="BI27" s="146"/>
      <c r="BK27" s="89"/>
      <c r="BL27" s="146"/>
      <c r="BM27" s="146"/>
      <c r="BN27" s="146"/>
    </row>
    <row r="28" spans="1:66">
      <c r="B28" s="142"/>
      <c r="C28" s="142"/>
      <c r="D28" s="142"/>
      <c r="F28" s="142"/>
      <c r="G28" s="142"/>
      <c r="H28" s="142"/>
      <c r="AQ28" s="144"/>
      <c r="AR28" s="146"/>
      <c r="BI28" s="146"/>
      <c r="BK28" s="89"/>
    </row>
    <row r="29" spans="1:66" ht="7.5" customHeight="1">
      <c r="B29" s="160"/>
      <c r="C29" s="160"/>
      <c r="D29" s="160"/>
      <c r="E29" s="161"/>
      <c r="F29" s="160"/>
      <c r="G29" s="160"/>
      <c r="H29" s="16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V29" s="146"/>
      <c r="W29" s="146"/>
      <c r="X29" s="146"/>
      <c r="Y29" s="146"/>
      <c r="Z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3"/>
      <c r="AQ29" s="144"/>
      <c r="AS29" s="146"/>
      <c r="AT29" s="86"/>
      <c r="AU29" s="86"/>
      <c r="AV29" s="86"/>
      <c r="AX29" s="86"/>
      <c r="AY29" s="86"/>
      <c r="AZ29" s="86"/>
      <c r="BA29" s="86"/>
      <c r="BC29" s="86"/>
      <c r="BF29" s="146"/>
      <c r="BG29" s="146"/>
      <c r="BH29" s="146"/>
      <c r="BI29" s="146"/>
      <c r="BK29" s="89"/>
      <c r="BL29" s="146"/>
      <c r="BM29" s="146"/>
      <c r="BN29" s="146"/>
    </row>
    <row r="30" spans="1:66" ht="7.5" customHeight="1">
      <c r="B30" s="142"/>
      <c r="C30" s="142"/>
      <c r="D30" s="142"/>
      <c r="F30" s="142"/>
      <c r="G30" s="142"/>
      <c r="H30" s="142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V30" s="146"/>
      <c r="W30" s="146"/>
      <c r="X30" s="146"/>
      <c r="Y30" s="146"/>
      <c r="Z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3"/>
      <c r="AQ30" s="144"/>
      <c r="AS30" s="146"/>
      <c r="AT30" s="86"/>
      <c r="AU30" s="86"/>
      <c r="AV30" s="86"/>
      <c r="AX30" s="86"/>
      <c r="AY30" s="86"/>
      <c r="AZ30" s="86"/>
      <c r="BA30" s="86"/>
      <c r="BC30" s="86"/>
      <c r="BF30" s="146"/>
      <c r="BG30" s="146"/>
      <c r="BH30" s="146"/>
      <c r="BI30" s="146"/>
      <c r="BK30" s="89"/>
      <c r="BL30" s="146"/>
      <c r="BM30" s="146"/>
      <c r="BN30" s="146"/>
    </row>
    <row r="31" spans="1:66" ht="23.25">
      <c r="B31" s="142"/>
      <c r="C31" s="142"/>
      <c r="D31" s="142"/>
      <c r="F31" s="173" t="s">
        <v>548</v>
      </c>
      <c r="H31" s="142"/>
      <c r="AQ31" s="144"/>
      <c r="AR31" s="146"/>
      <c r="BI31" s="146"/>
      <c r="BK31" s="89"/>
    </row>
    <row r="32" spans="1:66" ht="16.5" customHeight="1">
      <c r="B32" s="142"/>
      <c r="C32" s="142"/>
      <c r="D32" s="142"/>
      <c r="F32" s="142"/>
      <c r="G32" s="158"/>
      <c r="H32" s="142"/>
      <c r="AQ32" s="144"/>
      <c r="AR32" s="146"/>
      <c r="BI32" s="146"/>
      <c r="BK32" s="89"/>
    </row>
    <row r="33" spans="2:66" s="136" customFormat="1">
      <c r="B33" s="11"/>
      <c r="C33" s="11"/>
      <c r="D33" s="11"/>
      <c r="E33" s="11"/>
      <c r="F33" s="30" t="s">
        <v>546</v>
      </c>
      <c r="G33" s="171" t="s">
        <v>547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43"/>
      <c r="AQ33" s="144"/>
      <c r="AR33" s="146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46"/>
      <c r="BJ33" s="11"/>
      <c r="BK33" s="11"/>
      <c r="BL33" s="11"/>
      <c r="BM33" s="11"/>
      <c r="BN33" s="11"/>
    </row>
    <row r="34" spans="2:66">
      <c r="B34" s="155"/>
      <c r="C34" s="152"/>
      <c r="D34" s="152"/>
      <c r="E34" s="152"/>
      <c r="F34" s="167"/>
      <c r="G34" s="172"/>
      <c r="H34" s="170"/>
      <c r="AP34" s="143"/>
      <c r="AQ34" s="144"/>
      <c r="AR34" s="146"/>
      <c r="BI34" s="146"/>
    </row>
    <row r="35" spans="2:66">
      <c r="B35" s="168"/>
      <c r="C35" s="152"/>
      <c r="D35" s="152"/>
      <c r="E35" s="152"/>
      <c r="F35" s="167"/>
      <c r="G35" s="169"/>
      <c r="H35" s="170"/>
      <c r="AP35" s="143"/>
      <c r="AQ35" s="144"/>
      <c r="AR35" s="146"/>
      <c r="BI35" s="146"/>
    </row>
    <row r="36" spans="2:66">
      <c r="B36" s="168"/>
      <c r="C36" s="152"/>
      <c r="D36" s="152"/>
      <c r="E36" s="152"/>
      <c r="F36" s="167"/>
      <c r="G36" s="169"/>
      <c r="H36" s="170"/>
      <c r="V36" s="146"/>
      <c r="W36" s="146"/>
      <c r="X36" s="146"/>
      <c r="Z36" s="146"/>
      <c r="AB36" s="146"/>
      <c r="AC36" s="146"/>
      <c r="AE36" s="146"/>
      <c r="AF36" s="146"/>
      <c r="AH36" s="146"/>
      <c r="AI36" s="146"/>
      <c r="AJ36" s="146"/>
      <c r="AK36" s="146"/>
      <c r="AL36" s="146"/>
      <c r="AM36" s="146"/>
      <c r="AN36" s="146"/>
      <c r="AO36" s="146"/>
      <c r="AP36" s="143"/>
      <c r="AQ36" s="144"/>
      <c r="AR36" s="146"/>
      <c r="AS36" s="146"/>
      <c r="AU36" s="146"/>
      <c r="AV36" s="146"/>
      <c r="AW36" s="146"/>
      <c r="AX36" s="146"/>
      <c r="AY36" s="146"/>
      <c r="AZ36" s="146"/>
      <c r="BA36" s="146"/>
      <c r="BB36" s="146"/>
      <c r="BC36" s="146"/>
      <c r="BE36" s="146"/>
      <c r="BF36" s="146"/>
      <c r="BG36" s="146"/>
      <c r="BH36" s="146"/>
      <c r="BI36" s="146"/>
      <c r="BJ36" s="146"/>
      <c r="BK36" s="89"/>
      <c r="BL36" s="146"/>
      <c r="BM36" s="146"/>
      <c r="BN36" s="146"/>
    </row>
    <row r="37" spans="2:66" s="136" customFormat="1">
      <c r="B37" s="155"/>
      <c r="C37" s="152"/>
      <c r="D37" s="152"/>
      <c r="E37" s="152"/>
      <c r="F37" s="167"/>
      <c r="G37" s="172"/>
      <c r="H37" s="17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2:66" s="136" customFormat="1">
      <c r="B38" s="155"/>
      <c r="C38" s="151"/>
      <c r="D38" s="152"/>
      <c r="E38" s="152"/>
      <c r="F38" s="167"/>
      <c r="G38" s="172"/>
      <c r="H38" s="17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2:66" s="136" customFormat="1">
      <c r="B39" s="155"/>
      <c r="C39" s="152"/>
      <c r="D39" s="152"/>
      <c r="E39" s="152"/>
      <c r="F39" s="167"/>
      <c r="G39" s="172"/>
      <c r="H39" s="17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2:66" s="136" customFormat="1">
      <c r="B40" s="155"/>
      <c r="C40" s="152"/>
      <c r="D40" s="152"/>
      <c r="E40" s="152"/>
      <c r="F40" s="167"/>
      <c r="G40" s="172"/>
      <c r="H40" s="17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2:66" s="136" customFormat="1">
      <c r="B41" s="168"/>
      <c r="C41" s="152"/>
      <c r="D41" s="152"/>
      <c r="E41" s="152"/>
      <c r="F41" s="167"/>
      <c r="G41" s="169"/>
      <c r="H41" s="17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2:66" s="136" customFormat="1">
      <c r="B42" s="168"/>
      <c r="C42" s="152"/>
      <c r="D42" s="152"/>
      <c r="E42" s="152"/>
      <c r="F42" s="167"/>
      <c r="G42" s="169"/>
      <c r="H42" s="17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2:66" s="136" customFormat="1">
      <c r="B43" s="168"/>
      <c r="C43" s="152"/>
      <c r="D43" s="152"/>
      <c r="E43" s="152"/>
      <c r="F43" s="167"/>
      <c r="G43" s="169"/>
      <c r="H43" s="17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2:66" s="136" customFormat="1">
      <c r="B44" s="168"/>
      <c r="C44" s="152"/>
      <c r="D44" s="152"/>
      <c r="E44" s="152"/>
      <c r="F44" s="167"/>
      <c r="G44" s="169"/>
      <c r="H44" s="17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2:66" s="136" customFormat="1">
      <c r="B45" s="155"/>
      <c r="C45" s="152"/>
      <c r="D45" s="152"/>
      <c r="E45" s="152"/>
      <c r="F45" s="167"/>
      <c r="G45" s="172"/>
      <c r="H45" s="17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2:66" s="136" customFormat="1">
      <c r="B46" s="155"/>
      <c r="C46" s="152"/>
      <c r="D46" s="152"/>
      <c r="E46" s="152"/>
      <c r="F46" s="167"/>
      <c r="G46" s="172"/>
      <c r="H46" s="17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2:66" s="136" customFormat="1">
      <c r="B47" s="155"/>
      <c r="C47" s="152"/>
      <c r="D47" s="152"/>
      <c r="E47" s="152"/>
      <c r="F47" s="167"/>
      <c r="G47" s="172"/>
      <c r="H47" s="17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2:66" s="136" customFormat="1">
      <c r="B48" s="155"/>
      <c r="C48" s="152"/>
      <c r="D48" s="152"/>
      <c r="E48" s="152"/>
      <c r="F48" s="167"/>
      <c r="G48" s="172"/>
      <c r="H48" s="17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2:66" s="136" customFormat="1">
      <c r="B49" s="168"/>
      <c r="C49" s="152"/>
      <c r="D49" s="152"/>
      <c r="E49" s="152"/>
      <c r="F49" s="167"/>
      <c r="G49" s="169"/>
      <c r="H49" s="17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2:66" s="136" customFormat="1">
      <c r="B50" s="168"/>
      <c r="C50" s="152"/>
      <c r="D50" s="152"/>
      <c r="E50" s="152"/>
      <c r="F50" s="167"/>
      <c r="G50" s="169"/>
      <c r="H50" s="17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2:66" s="136" customFormat="1">
      <c r="B51" s="155"/>
      <c r="C51" s="151"/>
      <c r="D51" s="152"/>
      <c r="E51" s="152"/>
      <c r="F51" s="167"/>
      <c r="G51" s="172"/>
      <c r="H51" s="17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2:66" s="136" customFormat="1">
      <c r="B52" s="155"/>
      <c r="C52" s="151"/>
      <c r="D52" s="152"/>
      <c r="E52" s="152"/>
      <c r="F52" s="167"/>
      <c r="G52" s="172"/>
      <c r="H52" s="17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2:66" s="136" customFormat="1">
      <c r="B53" s="146"/>
      <c r="C53" s="146"/>
      <c r="D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2:66" s="136" customFormat="1">
      <c r="B54" s="146"/>
      <c r="C54" s="146"/>
      <c r="D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2:66" s="136" customFormat="1">
      <c r="B55" s="146"/>
      <c r="C55" s="146"/>
      <c r="D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2:66" s="136" customFormat="1">
      <c r="B56" s="146"/>
      <c r="C56" s="146"/>
      <c r="D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2:66" s="136" customFormat="1">
      <c r="B57" s="146"/>
      <c r="C57" s="146"/>
      <c r="D57" s="11"/>
      <c r="E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2:66" s="136" customFormat="1">
      <c r="B58" s="146"/>
      <c r="C58" s="146"/>
      <c r="D58" s="11"/>
      <c r="E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2:66" s="136" customFormat="1">
      <c r="B59" s="146"/>
      <c r="C59" s="146"/>
      <c r="D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2:66" s="136" customFormat="1">
      <c r="B60" s="146"/>
      <c r="C60" s="146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2:66" s="136" customFormat="1">
      <c r="B61" s="146"/>
      <c r="C61" s="146"/>
      <c r="D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2:66" s="136" customFormat="1">
      <c r="B62" s="146"/>
      <c r="C62" s="146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2:66" s="136" customFormat="1">
      <c r="B63" s="146"/>
      <c r="C63" s="146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2:66" s="136" customFormat="1">
      <c r="B64" s="146"/>
      <c r="C64" s="146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2:66" s="136" customFormat="1">
      <c r="B65" s="146"/>
      <c r="C65" s="146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2:66" s="136" customFormat="1">
      <c r="B66" s="146"/>
      <c r="C66" s="146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2:66" s="136" customFormat="1">
      <c r="B67" s="146"/>
      <c r="C67" s="146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2:66" s="136" customFormat="1">
      <c r="B68" s="146"/>
      <c r="C68" s="146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2:66" s="136" customFormat="1">
      <c r="B69" s="146"/>
      <c r="C69" s="146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2:66" s="136" customFormat="1">
      <c r="B70" s="146"/>
      <c r="C70" s="146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2:66" s="136" customFormat="1">
      <c r="B71" s="146"/>
      <c r="C71" s="146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2:66" s="136" customFormat="1">
      <c r="B72" s="146"/>
      <c r="C72" s="146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2:66" s="136" customFormat="1">
      <c r="B73" s="146"/>
      <c r="C73" s="146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2:66" s="136" customFormat="1">
      <c r="B74" s="146"/>
      <c r="C74" s="146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2:66" s="136" customFormat="1">
      <c r="B75" s="146"/>
      <c r="C75" s="146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2:66" s="136" customFormat="1">
      <c r="B76" s="146"/>
      <c r="C76" s="146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2:66" s="136" customFormat="1">
      <c r="B77" s="146"/>
      <c r="C77" s="146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2:66" s="136" customFormat="1">
      <c r="B78" s="146"/>
      <c r="C78" s="146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2:66" s="136" customFormat="1">
      <c r="B79" s="146"/>
      <c r="C79" s="146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2:66" s="136" customFormat="1">
      <c r="B80" s="146"/>
      <c r="C80" s="146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2:66" s="136" customFormat="1">
      <c r="B81" s="146"/>
      <c r="C81" s="146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2:66" s="136" customFormat="1">
      <c r="B82" s="146"/>
      <c r="C82" s="146"/>
      <c r="D82" s="11"/>
      <c r="E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2:66" s="136" customFormat="1">
      <c r="B83" s="146"/>
      <c r="C83" s="146"/>
      <c r="D83" s="11"/>
      <c r="E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2:66" s="136" customFormat="1">
      <c r="B84" s="146"/>
      <c r="C84" s="146"/>
      <c r="D84" s="11"/>
      <c r="E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2:66" s="136" customFormat="1">
      <c r="B85" s="146"/>
      <c r="C85" s="146"/>
      <c r="D85" s="11"/>
      <c r="E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2:66" s="136" customFormat="1">
      <c r="B86" s="146"/>
      <c r="C86" s="146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2:66" s="136" customFormat="1">
      <c r="B87" s="146"/>
      <c r="C87" s="146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2:66" s="136" customFormat="1">
      <c r="B88" s="146"/>
      <c r="C88" s="146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2:66" s="136" customFormat="1">
      <c r="B89" s="146"/>
      <c r="C89" s="146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2:66" s="136" customFormat="1">
      <c r="B90" s="146"/>
      <c r="C90" s="146"/>
      <c r="D90" s="11"/>
      <c r="E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2:66" s="136" customFormat="1">
      <c r="B91" s="146"/>
      <c r="C91" s="146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2:66" s="136" customFormat="1">
      <c r="B92" s="146"/>
      <c r="C92" s="146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2:66" s="136" customFormat="1">
      <c r="B93" s="146"/>
      <c r="C93" s="146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2:66" s="136" customFormat="1">
      <c r="B94" s="146"/>
      <c r="C94" s="146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2:66" s="136" customFormat="1">
      <c r="B95" s="146"/>
      <c r="C95" s="146"/>
      <c r="D95" s="11"/>
      <c r="E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2:66" s="136" customFormat="1">
      <c r="B96" s="146"/>
      <c r="C96" s="146"/>
      <c r="D96" s="11"/>
      <c r="E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2:66" s="136" customFormat="1">
      <c r="B97" s="146"/>
      <c r="C97" s="146"/>
      <c r="D97" s="11"/>
      <c r="E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2:66" s="136" customFormat="1">
      <c r="B98" s="146"/>
      <c r="C98" s="146"/>
      <c r="D98" s="11"/>
      <c r="E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2:66" s="136" customFormat="1">
      <c r="B99" s="146"/>
      <c r="C99" s="146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2:66" s="136" customFormat="1">
      <c r="B100" s="146"/>
      <c r="C100" s="146"/>
      <c r="D100" s="11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2:66" s="136" customFormat="1">
      <c r="B101" s="146"/>
      <c r="C101" s="146"/>
      <c r="D101" s="11"/>
      <c r="E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2:66" s="136" customFormat="1">
      <c r="B102" s="146"/>
      <c r="C102" s="146"/>
      <c r="D102" s="11"/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2:66" s="136" customFormat="1">
      <c r="B103" s="146"/>
      <c r="C103" s="146"/>
      <c r="D103" s="11"/>
      <c r="E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2:66" s="136" customFormat="1">
      <c r="B104" s="146"/>
      <c r="C104" s="146"/>
      <c r="D104" s="11"/>
      <c r="E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2:66" s="136" customFormat="1">
      <c r="B105" s="146"/>
      <c r="C105" s="146"/>
      <c r="D105" s="11"/>
      <c r="E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2:66" s="136" customFormat="1">
      <c r="B106" s="146"/>
      <c r="C106" s="146"/>
      <c r="D106" s="11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2:66" s="136" customFormat="1">
      <c r="B107" s="146"/>
      <c r="C107" s="146"/>
      <c r="D107" s="11"/>
      <c r="E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2:66" s="136" customFormat="1">
      <c r="B108" s="146"/>
      <c r="C108" s="146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2:66" s="136" customFormat="1">
      <c r="B109" s="146"/>
      <c r="C109" s="146"/>
      <c r="D109" s="11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2:66" s="136" customFormat="1">
      <c r="B110" s="146"/>
      <c r="C110" s="146"/>
      <c r="D110" s="11"/>
      <c r="E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2:66" s="136" customFormat="1">
      <c r="B111" s="146"/>
      <c r="C111" s="146"/>
      <c r="D111" s="11"/>
      <c r="E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2:66" s="136" customFormat="1">
      <c r="B112" s="146"/>
      <c r="C112" s="146"/>
      <c r="D112" s="11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2:66" s="136" customFormat="1">
      <c r="B113" s="146"/>
      <c r="C113" s="146"/>
      <c r="D113" s="11"/>
      <c r="E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2:66" s="136" customFormat="1">
      <c r="B114" s="146"/>
      <c r="C114" s="146"/>
      <c r="D114" s="11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2:66" s="136" customFormat="1">
      <c r="B115" s="146"/>
      <c r="C115" s="146"/>
      <c r="D115" s="11"/>
      <c r="E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2:66" s="136" customFormat="1">
      <c r="B116" s="146"/>
      <c r="C116" s="146"/>
      <c r="D116" s="11"/>
      <c r="E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2:66" s="136" customFormat="1">
      <c r="B117" s="146"/>
      <c r="C117" s="146"/>
      <c r="D117" s="11"/>
      <c r="E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2:66" s="136" customFormat="1">
      <c r="B118" s="146"/>
      <c r="C118" s="146"/>
      <c r="D118" s="11"/>
      <c r="E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2:66" s="136" customFormat="1">
      <c r="B119" s="146"/>
      <c r="C119" s="146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2:66" s="136" customFormat="1">
      <c r="B120" s="146"/>
      <c r="C120" s="146"/>
      <c r="D120" s="11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2:66" s="136" customFormat="1">
      <c r="B121" s="146"/>
      <c r="C121" s="146"/>
      <c r="D121" s="11"/>
      <c r="E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2:66" s="136" customFormat="1">
      <c r="B122" s="146"/>
      <c r="C122" s="146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2:66" s="136" customFormat="1">
      <c r="B123" s="146"/>
      <c r="C123" s="146"/>
      <c r="D123" s="11"/>
      <c r="E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2:66" s="136" customFormat="1">
      <c r="B124" s="146"/>
      <c r="C124" s="146"/>
      <c r="D124" s="11"/>
      <c r="E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2:66" s="136" customFormat="1">
      <c r="B125" s="146"/>
      <c r="C125" s="146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2:66" s="136" customFormat="1">
      <c r="B126" s="146"/>
      <c r="C126" s="146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2:66" s="136" customFormat="1">
      <c r="B127" s="146"/>
      <c r="C127" s="146"/>
      <c r="D127" s="11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2:66" s="136" customFormat="1">
      <c r="B128" s="146"/>
      <c r="C128" s="146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2:66" s="136" customFormat="1">
      <c r="B129" s="146"/>
      <c r="C129" s="146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2:66" s="136" customFormat="1">
      <c r="B130" s="146"/>
      <c r="C130" s="146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2:66" s="136" customFormat="1">
      <c r="B131" s="146"/>
      <c r="C131" s="146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2:66" s="136" customFormat="1">
      <c r="B132" s="146"/>
      <c r="C132" s="146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2:66" s="136" customFormat="1">
      <c r="B133" s="146"/>
      <c r="C133" s="146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2:66" s="136" customFormat="1">
      <c r="B134" s="146"/>
      <c r="C134" s="146"/>
      <c r="D134" s="11"/>
      <c r="E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2:66" s="136" customFormat="1">
      <c r="B135" s="146"/>
      <c r="C135" s="146"/>
      <c r="D135" s="11"/>
      <c r="E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2:66" s="136" customFormat="1">
      <c r="B136" s="146"/>
      <c r="C136" s="146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2:66" s="136" customFormat="1">
      <c r="B137" s="146"/>
      <c r="C137" s="146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2:66" s="136" customFormat="1">
      <c r="B138" s="146"/>
      <c r="C138" s="146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2:66" s="136" customFormat="1">
      <c r="B139" s="146"/>
      <c r="C139" s="146"/>
      <c r="D139" s="11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2:66" s="136" customFormat="1">
      <c r="B140" s="146"/>
      <c r="C140" s="146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2:66" s="136" customFormat="1">
      <c r="B141" s="146"/>
      <c r="C141" s="146"/>
      <c r="D141" s="11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2:66" s="136" customFormat="1">
      <c r="B142" s="146"/>
      <c r="C142" s="146"/>
      <c r="D142" s="11"/>
      <c r="E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2:66" s="136" customFormat="1">
      <c r="B143" s="146"/>
      <c r="C143" s="146"/>
      <c r="D143" s="11"/>
      <c r="E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2:66" s="136" customFormat="1">
      <c r="B144" s="146"/>
      <c r="C144" s="146"/>
      <c r="D144" s="11"/>
      <c r="E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2:66" s="136" customFormat="1">
      <c r="B145" s="146"/>
      <c r="C145" s="146"/>
      <c r="D145" s="11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2:66" s="136" customFormat="1">
      <c r="B146" s="146"/>
      <c r="C146" s="146"/>
      <c r="D146" s="11"/>
      <c r="E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2:66" s="136" customFormat="1">
      <c r="B147" s="146"/>
      <c r="C147" s="146"/>
      <c r="D147" s="11"/>
      <c r="E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2:66" s="136" customFormat="1">
      <c r="B148" s="146"/>
      <c r="C148" s="146"/>
      <c r="D148" s="11"/>
      <c r="E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  <row r="149" spans="2:66" s="136" customFormat="1">
      <c r="B149" s="146"/>
      <c r="C149" s="146"/>
      <c r="D149" s="11"/>
      <c r="E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2:66" s="136" customFormat="1">
      <c r="B150" s="146"/>
      <c r="C150" s="146"/>
      <c r="D150" s="11"/>
      <c r="E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2:66" s="136" customFormat="1">
      <c r="B151" s="146"/>
      <c r="C151" s="146"/>
      <c r="D151" s="11"/>
      <c r="E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2:66" s="136" customFormat="1">
      <c r="B152" s="146"/>
      <c r="C152" s="146"/>
      <c r="D152" s="11"/>
      <c r="E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2:66" s="136" customFormat="1">
      <c r="B153" s="146"/>
      <c r="C153" s="146"/>
      <c r="D153" s="11"/>
      <c r="E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2:66" s="136" customFormat="1">
      <c r="B154" s="146"/>
      <c r="C154" s="146"/>
      <c r="D154" s="11"/>
      <c r="E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  <row r="155" spans="2:66" s="136" customFormat="1">
      <c r="B155" s="146"/>
      <c r="C155" s="146"/>
      <c r="D155" s="11"/>
      <c r="E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</row>
  </sheetData>
  <mergeCells count="11">
    <mergeCell ref="AT11:AX11"/>
    <mergeCell ref="AT12:AX12"/>
    <mergeCell ref="AT13:AX13"/>
    <mergeCell ref="AT14:AX14"/>
    <mergeCell ref="AT19:AX19"/>
    <mergeCell ref="AT10:AX10"/>
    <mergeCell ref="AR4:AS4"/>
    <mergeCell ref="AT4:AX4"/>
    <mergeCell ref="AY4:BC4"/>
    <mergeCell ref="BD4:BK4"/>
    <mergeCell ref="AT6:AX6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N158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11" hidden="1" customWidth="1"/>
    <col min="2" max="2" width="12.28515625" style="146" bestFit="1" customWidth="1"/>
    <col min="3" max="3" width="8.7109375" style="146" bestFit="1" customWidth="1"/>
    <col min="4" max="4" width="29.7109375" style="11" customWidth="1"/>
    <col min="5" max="5" width="11.140625" style="11" customWidth="1"/>
    <col min="6" max="6" width="53.85546875" style="136" customWidth="1"/>
    <col min="7" max="7" width="22.7109375" style="11" customWidth="1"/>
    <col min="8" max="8" width="15.7109375" style="11" customWidth="1"/>
    <col min="9" max="9" width="14.7109375" style="11" customWidth="1"/>
    <col min="10" max="10" width="12.5703125" style="11" customWidth="1"/>
    <col min="11" max="11" width="13.42578125" style="11" customWidth="1"/>
    <col min="12" max="12" width="13.140625" style="11" customWidth="1"/>
    <col min="13" max="13" width="13.42578125" style="11" customWidth="1"/>
    <col min="14" max="14" width="13.28515625" style="11" customWidth="1"/>
    <col min="15" max="15" width="13.42578125" style="11" hidden="1" customWidth="1"/>
    <col min="16" max="16" width="10.7109375" style="11" hidden="1" customWidth="1"/>
    <col min="17" max="17" width="13.42578125" style="11" hidden="1" customWidth="1"/>
    <col min="18" max="18" width="9.7109375" style="11" hidden="1" customWidth="1"/>
    <col min="19" max="19" width="13.140625" style="11" hidden="1" customWidth="1"/>
    <col min="20" max="20" width="12.140625" style="11" hidden="1" customWidth="1"/>
    <col min="21" max="21" width="10" style="11" customWidth="1"/>
    <col min="22" max="22" width="6.140625" style="11" customWidth="1"/>
    <col min="23" max="23" width="9.7109375" style="11" customWidth="1"/>
    <col min="24" max="24" width="7.140625" style="11" customWidth="1"/>
    <col min="25" max="25" width="11.28515625" style="11" customWidth="1"/>
    <col min="26" max="26" width="9.42578125" style="11" customWidth="1"/>
    <col min="27" max="27" width="10.5703125" style="11" customWidth="1"/>
    <col min="28" max="29" width="8.42578125" style="11" customWidth="1"/>
    <col min="30" max="30" width="12.5703125" style="11" customWidth="1"/>
    <col min="31" max="31" width="7.7109375" style="11" customWidth="1"/>
    <col min="32" max="32" width="10.28515625" style="11" customWidth="1"/>
    <col min="33" max="33" width="15.5703125" style="11" customWidth="1"/>
    <col min="34" max="34" width="7.7109375" style="11" customWidth="1"/>
    <col min="35" max="35" width="10.5703125" style="11" customWidth="1"/>
    <col min="36" max="36" width="6.140625" style="11" customWidth="1"/>
    <col min="37" max="37" width="9.28515625" style="11" customWidth="1"/>
    <col min="38" max="38" width="14.140625" style="11" customWidth="1"/>
    <col min="39" max="39" width="9.28515625" style="11" customWidth="1"/>
    <col min="40" max="40" width="9" style="11" customWidth="1"/>
    <col min="41" max="41" width="6.5703125" style="11" customWidth="1"/>
    <col min="42" max="42" width="13" style="11" customWidth="1"/>
    <col min="43" max="43" width="9.140625" style="11" customWidth="1"/>
    <col min="44" max="44" width="14.85546875" style="11" customWidth="1"/>
    <col min="45" max="45" width="17.140625" style="11" customWidth="1"/>
    <col min="46" max="46" width="7" style="11" bestFit="1" customWidth="1"/>
    <col min="47" max="47" width="17.85546875" style="11" customWidth="1"/>
    <col min="48" max="48" width="6.85546875" style="11" bestFit="1" customWidth="1"/>
    <col min="49" max="49" width="6.7109375" style="11" customWidth="1"/>
    <col min="50" max="50" width="7.5703125" style="11" bestFit="1" customWidth="1"/>
    <col min="51" max="51" width="7" style="11" bestFit="1" customWidth="1"/>
    <col min="52" max="52" width="20.140625" style="11" bestFit="1" customWidth="1"/>
    <col min="53" max="53" width="6.85546875" style="11" bestFit="1" customWidth="1"/>
    <col min="54" max="54" width="5.5703125" style="11" bestFit="1" customWidth="1"/>
    <col min="55" max="55" width="7.5703125" style="11" bestFit="1" customWidth="1"/>
    <col min="56" max="56" width="17.85546875" style="11" customWidth="1"/>
    <col min="57" max="57" width="10.42578125" style="11" bestFit="1" customWidth="1"/>
    <col min="58" max="58" width="12" style="11" bestFit="1" customWidth="1"/>
    <col min="59" max="60" width="14.42578125" style="11" bestFit="1" customWidth="1"/>
    <col min="61" max="61" width="13.28515625" style="11" bestFit="1" customWidth="1"/>
    <col min="62" max="62" width="16.28515625" style="11" bestFit="1" customWidth="1"/>
    <col min="63" max="63" width="22.28515625" style="11" customWidth="1"/>
    <col min="64" max="64" width="12.140625" style="11" customWidth="1"/>
    <col min="65" max="65" width="15.42578125" style="11" customWidth="1"/>
    <col min="66" max="66" width="12.42578125" style="11" customWidth="1"/>
    <col min="67" max="16384" width="9.140625" style="11"/>
  </cols>
  <sheetData>
    <row r="2" spans="1:66" ht="23.25">
      <c r="F2" s="9" t="s">
        <v>578</v>
      </c>
      <c r="H2" s="9"/>
      <c r="I2" s="10"/>
    </row>
    <row r="3" spans="1:66" ht="20.25">
      <c r="F3" s="242">
        <v>41685</v>
      </c>
    </row>
    <row r="4" spans="1:66" ht="15.75">
      <c r="D4" s="137" t="s">
        <v>17</v>
      </c>
      <c r="E4" s="137"/>
      <c r="I4" s="16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Y4" s="18" t="s">
        <v>16</v>
      </c>
      <c r="Z4" s="18"/>
      <c r="AA4" s="17"/>
      <c r="AB4" s="17"/>
      <c r="AC4" s="19"/>
      <c r="AD4" s="19"/>
      <c r="AE4" s="19"/>
      <c r="AF4" s="19"/>
      <c r="AG4" s="19"/>
      <c r="AH4" s="19"/>
      <c r="AI4" s="19"/>
      <c r="AJ4" s="19"/>
      <c r="AP4" s="221" t="s">
        <v>703</v>
      </c>
      <c r="AQ4" s="221"/>
      <c r="AR4" s="392" t="s">
        <v>19</v>
      </c>
      <c r="AS4" s="392"/>
      <c r="AT4" s="393" t="s">
        <v>22</v>
      </c>
      <c r="AU4" s="393"/>
      <c r="AV4" s="393"/>
      <c r="AW4" s="393"/>
      <c r="AX4" s="393"/>
      <c r="AY4" s="398" t="s">
        <v>28</v>
      </c>
      <c r="AZ4" s="398"/>
      <c r="BA4" s="398"/>
      <c r="BB4" s="398"/>
      <c r="BC4" s="398"/>
      <c r="BD4" s="389" t="s">
        <v>34</v>
      </c>
      <c r="BE4" s="389"/>
      <c r="BF4" s="389"/>
      <c r="BG4" s="389"/>
      <c r="BH4" s="389"/>
      <c r="BI4" s="389"/>
      <c r="BJ4" s="389"/>
      <c r="BK4" s="389"/>
    </row>
    <row r="5" spans="1:66" ht="30">
      <c r="B5" s="139" t="s">
        <v>0</v>
      </c>
      <c r="C5" s="150" t="s">
        <v>658</v>
      </c>
      <c r="D5" s="139" t="s">
        <v>2</v>
      </c>
      <c r="E5" s="30" t="s">
        <v>56</v>
      </c>
      <c r="F5" s="30" t="s">
        <v>1</v>
      </c>
      <c r="G5" s="31" t="s">
        <v>3</v>
      </c>
      <c r="H5" s="31" t="s">
        <v>7</v>
      </c>
      <c r="I5" s="31" t="s">
        <v>4</v>
      </c>
      <c r="J5" s="31" t="s">
        <v>6</v>
      </c>
      <c r="K5" s="31" t="s">
        <v>5</v>
      </c>
      <c r="L5" s="31" t="s">
        <v>57</v>
      </c>
      <c r="M5" s="31" t="s">
        <v>54</v>
      </c>
      <c r="N5" s="31" t="s">
        <v>58</v>
      </c>
      <c r="O5" s="31" t="s">
        <v>59</v>
      </c>
      <c r="P5" s="31" t="s">
        <v>60</v>
      </c>
      <c r="Q5" s="31" t="s">
        <v>61</v>
      </c>
      <c r="R5" s="31" t="s">
        <v>62</v>
      </c>
      <c r="S5" s="31" t="s">
        <v>565</v>
      </c>
      <c r="T5" s="31" t="s">
        <v>62</v>
      </c>
      <c r="U5" s="32" t="s">
        <v>8</v>
      </c>
      <c r="V5" s="32" t="s">
        <v>47</v>
      </c>
      <c r="W5" s="32" t="s">
        <v>9</v>
      </c>
      <c r="X5" s="32" t="s">
        <v>36</v>
      </c>
      <c r="Y5" s="32" t="s">
        <v>10</v>
      </c>
      <c r="Z5" s="32" t="s">
        <v>48</v>
      </c>
      <c r="AA5" s="32" t="s">
        <v>11</v>
      </c>
      <c r="AB5" s="32" t="s">
        <v>53</v>
      </c>
      <c r="AC5" s="32" t="s">
        <v>12</v>
      </c>
      <c r="AD5" s="32" t="s">
        <v>52</v>
      </c>
      <c r="AE5" s="32" t="s">
        <v>49</v>
      </c>
      <c r="AF5" s="32" t="s">
        <v>14</v>
      </c>
      <c r="AG5" s="32" t="s">
        <v>37</v>
      </c>
      <c r="AH5" s="32" t="s">
        <v>50</v>
      </c>
      <c r="AI5" s="32" t="s">
        <v>51</v>
      </c>
      <c r="AJ5" s="32" t="s">
        <v>46</v>
      </c>
      <c r="AK5" s="32" t="s">
        <v>38</v>
      </c>
      <c r="AL5" s="32" t="s">
        <v>39</v>
      </c>
      <c r="AM5" s="32" t="s">
        <v>738</v>
      </c>
      <c r="AN5" s="32" t="s">
        <v>40</v>
      </c>
      <c r="AO5" s="32" t="s">
        <v>13</v>
      </c>
      <c r="AP5" s="140" t="s">
        <v>20</v>
      </c>
      <c r="AQ5" s="141" t="s">
        <v>21</v>
      </c>
      <c r="AR5" s="33" t="s">
        <v>18</v>
      </c>
      <c r="AS5" s="33" t="s">
        <v>55</v>
      </c>
      <c r="AT5" s="35" t="s">
        <v>23</v>
      </c>
      <c r="AU5" s="35" t="s">
        <v>24</v>
      </c>
      <c r="AV5" s="35" t="s">
        <v>25</v>
      </c>
      <c r="AW5" s="35" t="s">
        <v>26</v>
      </c>
      <c r="AX5" s="35" t="s">
        <v>27</v>
      </c>
      <c r="AY5" s="36" t="s">
        <v>23</v>
      </c>
      <c r="AZ5" s="36" t="s">
        <v>24</v>
      </c>
      <c r="BA5" s="36" t="s">
        <v>25</v>
      </c>
      <c r="BB5" s="36" t="s">
        <v>26</v>
      </c>
      <c r="BC5" s="36" t="s">
        <v>27</v>
      </c>
      <c r="BD5" s="37" t="s">
        <v>45</v>
      </c>
      <c r="BE5" s="38" t="s">
        <v>29</v>
      </c>
      <c r="BF5" s="38" t="s">
        <v>30</v>
      </c>
      <c r="BG5" s="38" t="s">
        <v>31</v>
      </c>
      <c r="BH5" s="38" t="s">
        <v>32</v>
      </c>
      <c r="BI5" s="38" t="s">
        <v>33</v>
      </c>
      <c r="BJ5" s="38" t="s">
        <v>35</v>
      </c>
      <c r="BK5" s="38" t="s">
        <v>44</v>
      </c>
      <c r="BL5" s="38" t="s">
        <v>41</v>
      </c>
      <c r="BM5" s="38" t="s">
        <v>42</v>
      </c>
      <c r="BN5" s="38" t="s">
        <v>43</v>
      </c>
    </row>
    <row r="6" spans="1:66" ht="30">
      <c r="A6" s="244">
        <v>41685</v>
      </c>
      <c r="B6" s="209" t="s">
        <v>787</v>
      </c>
      <c r="C6" s="215" t="s">
        <v>541</v>
      </c>
      <c r="D6" s="209" t="s">
        <v>788</v>
      </c>
      <c r="E6" s="243" t="s">
        <v>85</v>
      </c>
      <c r="F6" s="216" t="s">
        <v>847</v>
      </c>
      <c r="G6" s="187" t="s">
        <v>94</v>
      </c>
      <c r="H6" s="187" t="s">
        <v>891</v>
      </c>
      <c r="I6" s="182" t="s">
        <v>892</v>
      </c>
      <c r="J6" s="182" t="s">
        <v>893</v>
      </c>
      <c r="K6" s="182"/>
      <c r="L6" s="184"/>
      <c r="M6" s="197"/>
      <c r="N6" s="197"/>
      <c r="O6" s="197"/>
      <c r="P6" s="197"/>
      <c r="Q6" s="197"/>
      <c r="R6" s="197"/>
      <c r="S6" s="197"/>
      <c r="T6" s="197"/>
      <c r="U6" s="217" t="s">
        <v>848</v>
      </c>
      <c r="V6" s="217"/>
      <c r="W6" s="181">
        <v>83203</v>
      </c>
      <c r="X6" s="217"/>
      <c r="Y6" s="219" t="s">
        <v>849</v>
      </c>
      <c r="Z6" s="217"/>
      <c r="AA6" s="219" t="s">
        <v>850</v>
      </c>
      <c r="AB6" s="219"/>
      <c r="AC6" s="217"/>
      <c r="AD6" s="217"/>
      <c r="AE6" s="217"/>
      <c r="AF6" s="217"/>
      <c r="AH6" s="217"/>
      <c r="AI6" s="217"/>
      <c r="AJ6" s="217">
        <v>9203</v>
      </c>
      <c r="AK6" s="217"/>
      <c r="AL6" s="217"/>
      <c r="AM6" s="217"/>
      <c r="AN6" s="217"/>
      <c r="AO6" s="217" t="s">
        <v>851</v>
      </c>
      <c r="AP6" s="180">
        <v>84.86</v>
      </c>
      <c r="AQ6" s="175">
        <f t="shared" ref="AQ6:AQ13" si="0">AP6/0.444</f>
        <v>191.12612612612611</v>
      </c>
      <c r="AR6" s="188" t="s">
        <v>813</v>
      </c>
      <c r="AS6" s="188" t="s">
        <v>814</v>
      </c>
      <c r="AT6" s="388" t="s">
        <v>662</v>
      </c>
      <c r="AU6" s="388"/>
      <c r="AV6" s="388"/>
      <c r="AW6" s="388"/>
      <c r="AX6" s="388"/>
      <c r="AY6" s="212">
        <v>12.680999999999999</v>
      </c>
      <c r="AZ6" s="212">
        <v>12.680999999999999</v>
      </c>
      <c r="BA6" s="212">
        <v>14.362</v>
      </c>
      <c r="BB6" s="191">
        <f>(BA6*AZ6*AY6)/1728</f>
        <v>1.3365283932187497</v>
      </c>
      <c r="BC6" s="212">
        <f>0.75+0.4</f>
        <v>1.1499999999999999</v>
      </c>
      <c r="BD6" s="215" t="s">
        <v>68</v>
      </c>
      <c r="BE6" s="215">
        <v>1</v>
      </c>
      <c r="BF6" s="215">
        <v>9</v>
      </c>
      <c r="BG6" s="215">
        <v>3</v>
      </c>
      <c r="BH6" s="194">
        <f>BE6*BF6*BG6</f>
        <v>27</v>
      </c>
      <c r="BI6" s="194">
        <f t="shared" ref="BI6:BI17" si="1">(BC6*BF6*BG6)+50</f>
        <v>81.05</v>
      </c>
      <c r="BJ6" s="194" t="s">
        <v>65</v>
      </c>
      <c r="BK6" s="194" t="s">
        <v>107</v>
      </c>
      <c r="BL6" s="199"/>
      <c r="BM6" s="38"/>
      <c r="BN6" s="38"/>
    </row>
    <row r="7" spans="1:66">
      <c r="A7" s="244">
        <v>41685</v>
      </c>
      <c r="B7" s="215" t="s">
        <v>789</v>
      </c>
      <c r="C7" s="215" t="s">
        <v>541</v>
      </c>
      <c r="D7" s="209" t="s">
        <v>790</v>
      </c>
      <c r="E7" s="151" t="s">
        <v>172</v>
      </c>
      <c r="F7" s="216" t="s">
        <v>897</v>
      </c>
      <c r="G7" s="152" t="s">
        <v>52</v>
      </c>
      <c r="H7" s="207" t="s">
        <v>894</v>
      </c>
      <c r="I7" s="182" t="s">
        <v>895</v>
      </c>
      <c r="J7" s="182" t="s">
        <v>896</v>
      </c>
      <c r="K7" s="182" t="s">
        <v>335</v>
      </c>
      <c r="L7" s="184">
        <v>11988962</v>
      </c>
      <c r="M7" s="182" t="s">
        <v>335</v>
      </c>
      <c r="N7" s="184">
        <v>11708554</v>
      </c>
      <c r="O7" s="197"/>
      <c r="P7" s="197"/>
      <c r="Q7" s="197"/>
      <c r="R7" s="197"/>
      <c r="S7" s="197"/>
      <c r="T7" s="197"/>
      <c r="U7" s="217" t="s">
        <v>852</v>
      </c>
      <c r="V7" s="217"/>
      <c r="W7" s="181">
        <v>86716</v>
      </c>
      <c r="X7" s="217"/>
      <c r="Y7" s="219" t="s">
        <v>853</v>
      </c>
      <c r="Z7" s="217"/>
      <c r="AA7" s="219" t="s">
        <v>854</v>
      </c>
      <c r="AB7" s="219"/>
      <c r="AC7" s="217"/>
      <c r="AD7" s="217" t="s">
        <v>894</v>
      </c>
      <c r="AE7" s="217"/>
      <c r="AF7" s="217"/>
      <c r="AG7" s="217" t="s">
        <v>896</v>
      </c>
      <c r="AH7" s="217"/>
      <c r="AI7" s="217"/>
      <c r="AJ7" s="217">
        <v>3716</v>
      </c>
      <c r="AK7" s="217"/>
      <c r="AL7" s="217"/>
      <c r="AM7" s="217"/>
      <c r="AN7" s="217"/>
      <c r="AO7" s="217" t="s">
        <v>855</v>
      </c>
      <c r="AP7" s="180">
        <v>29.34</v>
      </c>
      <c r="AQ7" s="175">
        <f t="shared" si="0"/>
        <v>66.081081081081081</v>
      </c>
      <c r="AR7" s="188" t="s">
        <v>815</v>
      </c>
      <c r="AS7" s="188" t="s">
        <v>816</v>
      </c>
      <c r="AT7" s="212">
        <v>3.1859999999999999</v>
      </c>
      <c r="AU7" s="212">
        <v>3.1859999999999999</v>
      </c>
      <c r="AV7" s="212">
        <v>3.6920000000000002</v>
      </c>
      <c r="AW7" s="191">
        <f>(AV7*AU7*AT7)/1728</f>
        <v>2.1687500249999998E-2</v>
      </c>
      <c r="AX7" s="212">
        <v>0.375</v>
      </c>
      <c r="AY7" s="212">
        <v>10</v>
      </c>
      <c r="AZ7" s="212">
        <v>6.75</v>
      </c>
      <c r="BA7" s="212">
        <v>4.37</v>
      </c>
      <c r="BB7" s="191">
        <f>(BA7*AZ7*AY7)/1728</f>
        <v>0.17070312500000001</v>
      </c>
      <c r="BC7" s="212">
        <v>2.6669999999999998</v>
      </c>
      <c r="BD7" s="215" t="s">
        <v>68</v>
      </c>
      <c r="BE7" s="215">
        <v>6</v>
      </c>
      <c r="BF7" s="215">
        <v>26</v>
      </c>
      <c r="BG7" s="215">
        <v>9</v>
      </c>
      <c r="BH7" s="194">
        <f>BE7*BF7*BG7</f>
        <v>1404</v>
      </c>
      <c r="BI7" s="194">
        <f t="shared" si="1"/>
        <v>674.07799999999997</v>
      </c>
      <c r="BJ7" s="194" t="s">
        <v>377</v>
      </c>
      <c r="BK7" s="194" t="s">
        <v>107</v>
      </c>
      <c r="BL7" s="199"/>
      <c r="BM7" s="38"/>
      <c r="BN7" s="38"/>
    </row>
    <row r="8" spans="1:66" ht="30">
      <c r="A8" s="244">
        <v>41685</v>
      </c>
      <c r="B8" s="215" t="s">
        <v>791</v>
      </c>
      <c r="C8" s="215" t="s">
        <v>541</v>
      </c>
      <c r="D8" s="209" t="s">
        <v>792</v>
      </c>
      <c r="E8" s="239" t="s">
        <v>304</v>
      </c>
      <c r="F8" s="216" t="s">
        <v>899</v>
      </c>
      <c r="G8" s="216" t="s">
        <v>306</v>
      </c>
      <c r="H8" s="182" t="s">
        <v>898</v>
      </c>
      <c r="I8" s="218"/>
      <c r="J8" s="182"/>
      <c r="K8" s="182"/>
      <c r="L8" s="184"/>
      <c r="M8" s="197"/>
      <c r="N8" s="197"/>
      <c r="O8" s="197"/>
      <c r="P8" s="197"/>
      <c r="Q8" s="197"/>
      <c r="R8" s="197"/>
      <c r="S8" s="197"/>
      <c r="T8" s="197"/>
      <c r="U8" s="217" t="s">
        <v>856</v>
      </c>
      <c r="V8" s="217"/>
      <c r="W8" s="181">
        <v>84467</v>
      </c>
      <c r="X8" s="217"/>
      <c r="Y8" s="219" t="s">
        <v>857</v>
      </c>
      <c r="Z8" s="217"/>
      <c r="AA8" s="219" t="s">
        <v>858</v>
      </c>
      <c r="AB8" s="219"/>
      <c r="AC8" s="217"/>
      <c r="AD8" s="217"/>
      <c r="AE8" s="217"/>
      <c r="AF8" s="217"/>
      <c r="AG8" s="217"/>
      <c r="AH8" s="217"/>
      <c r="AI8" s="217"/>
      <c r="AJ8" s="217">
        <v>7467</v>
      </c>
      <c r="AK8" s="217"/>
      <c r="AL8" s="217"/>
      <c r="AM8" s="217"/>
      <c r="AN8" s="217"/>
      <c r="AO8" s="217" t="s">
        <v>859</v>
      </c>
      <c r="AP8" s="180">
        <v>47.05</v>
      </c>
      <c r="AQ8" s="175">
        <f t="shared" si="0"/>
        <v>105.96846846846846</v>
      </c>
      <c r="AR8" s="188" t="s">
        <v>817</v>
      </c>
      <c r="AS8" s="188" t="s">
        <v>818</v>
      </c>
      <c r="AT8" s="241">
        <v>4.9225000000000003</v>
      </c>
      <c r="AU8" s="241">
        <v>4.9225000000000003</v>
      </c>
      <c r="AV8" s="241">
        <v>6.6574999999999998</v>
      </c>
      <c r="AW8" s="191">
        <f>(AV8*AU8*AT8)/1728</f>
        <v>9.3355280155888315E-2</v>
      </c>
      <c r="AX8" s="212">
        <v>0.95</v>
      </c>
      <c r="AY8" s="212">
        <v>19.181000000000001</v>
      </c>
      <c r="AZ8" s="212">
        <v>14.430999999999999</v>
      </c>
      <c r="BA8" s="212">
        <v>6.6745000000000001</v>
      </c>
      <c r="BB8" s="191">
        <f>(BA8*AZ8*AY8)/1728</f>
        <v>1.0691599235645255</v>
      </c>
      <c r="BC8" s="212">
        <f>AX8*BE8+0.4</f>
        <v>11.799999999999999</v>
      </c>
      <c r="BD8" s="215" t="s">
        <v>68</v>
      </c>
      <c r="BE8" s="215">
        <v>12</v>
      </c>
      <c r="BF8" s="215">
        <v>6</v>
      </c>
      <c r="BG8" s="215">
        <v>6</v>
      </c>
      <c r="BH8" s="194">
        <f>BE8*BF8*BG8</f>
        <v>432</v>
      </c>
      <c r="BI8" s="194">
        <f t="shared" si="1"/>
        <v>474.79999999999995</v>
      </c>
      <c r="BJ8" s="194" t="s">
        <v>65</v>
      </c>
      <c r="BK8" s="194" t="s">
        <v>107</v>
      </c>
      <c r="BL8" s="199"/>
      <c r="BM8" s="38"/>
      <c r="BN8" s="38"/>
    </row>
    <row r="9" spans="1:66">
      <c r="A9" s="244">
        <v>41685</v>
      </c>
      <c r="B9" s="193" t="s">
        <v>793</v>
      </c>
      <c r="C9" s="193" t="s">
        <v>541</v>
      </c>
      <c r="D9" s="209" t="s">
        <v>788</v>
      </c>
      <c r="E9" s="11" t="s">
        <v>85</v>
      </c>
      <c r="F9" s="216" t="s">
        <v>902</v>
      </c>
      <c r="G9" s="187" t="s">
        <v>900</v>
      </c>
      <c r="H9" s="182" t="s">
        <v>901</v>
      </c>
      <c r="I9" s="220"/>
      <c r="J9" s="182"/>
      <c r="K9" s="182"/>
      <c r="L9" s="184"/>
      <c r="M9" s="197"/>
      <c r="N9" s="197"/>
      <c r="O9" s="197"/>
      <c r="P9" s="197"/>
      <c r="Q9" s="197"/>
      <c r="R9" s="197"/>
      <c r="S9" s="197"/>
      <c r="T9" s="197"/>
      <c r="U9" s="217"/>
      <c r="V9" s="217"/>
      <c r="W9" s="181"/>
      <c r="X9" s="217"/>
      <c r="Y9" s="219" t="s">
        <v>860</v>
      </c>
      <c r="Z9" s="217"/>
      <c r="AA9" s="219"/>
      <c r="AB9" s="219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180">
        <v>47.49</v>
      </c>
      <c r="AQ9" s="175">
        <f t="shared" si="0"/>
        <v>106.95945945945947</v>
      </c>
      <c r="AR9" s="188" t="s">
        <v>819</v>
      </c>
      <c r="AS9" s="188" t="s">
        <v>820</v>
      </c>
      <c r="AT9" s="388" t="s">
        <v>662</v>
      </c>
      <c r="AU9" s="388"/>
      <c r="AV9" s="388"/>
      <c r="AW9" s="388"/>
      <c r="AX9" s="388"/>
      <c r="AY9" s="193">
        <v>13.185</v>
      </c>
      <c r="AZ9" s="193">
        <v>9.8049999999999997</v>
      </c>
      <c r="BA9" s="193">
        <v>10.18</v>
      </c>
      <c r="BB9" s="191">
        <f>(BA9*AZ9*AY9)/1728</f>
        <v>0.76160848177083329</v>
      </c>
      <c r="BC9" s="193">
        <f>2.89+0.4</f>
        <v>3.29</v>
      </c>
      <c r="BD9" s="215" t="s">
        <v>68</v>
      </c>
      <c r="BE9" s="193">
        <v>1</v>
      </c>
      <c r="BF9" s="193">
        <v>16</v>
      </c>
      <c r="BG9" s="193">
        <v>3</v>
      </c>
      <c r="BH9" s="194">
        <f>BE9*BF9*BG9</f>
        <v>48</v>
      </c>
      <c r="BI9" s="194">
        <f t="shared" si="1"/>
        <v>207.92000000000002</v>
      </c>
      <c r="BJ9" s="194" t="s">
        <v>65</v>
      </c>
      <c r="BK9" s="194" t="s">
        <v>107</v>
      </c>
      <c r="BL9" s="199"/>
      <c r="BM9" s="38"/>
      <c r="BN9" s="38"/>
    </row>
    <row r="10" spans="1:66">
      <c r="A10" s="244">
        <v>41685</v>
      </c>
      <c r="B10" s="193" t="s">
        <v>794</v>
      </c>
      <c r="C10" s="215" t="s">
        <v>541</v>
      </c>
      <c r="D10" s="209" t="s">
        <v>795</v>
      </c>
      <c r="E10" s="240" t="s">
        <v>587</v>
      </c>
      <c r="F10" s="216" t="s">
        <v>904</v>
      </c>
      <c r="G10" s="187" t="s">
        <v>903</v>
      </c>
      <c r="H10" s="182">
        <v>3107499</v>
      </c>
      <c r="I10" s="220"/>
      <c r="J10" s="182"/>
      <c r="K10" s="182"/>
      <c r="L10" s="184"/>
      <c r="M10" s="197"/>
      <c r="N10" s="197"/>
      <c r="O10" s="197"/>
      <c r="P10" s="197"/>
      <c r="Q10" s="197"/>
      <c r="R10" s="197"/>
      <c r="S10" s="197"/>
      <c r="T10" s="197"/>
      <c r="U10" s="217" t="s">
        <v>861</v>
      </c>
      <c r="V10" s="217"/>
      <c r="W10" s="181"/>
      <c r="X10" s="217"/>
      <c r="Y10" s="219"/>
      <c r="Z10" s="217"/>
      <c r="AA10" s="219" t="s">
        <v>862</v>
      </c>
      <c r="AB10" s="219" t="s">
        <v>863</v>
      </c>
      <c r="AC10" s="217" t="s">
        <v>937</v>
      </c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180">
        <v>14.94</v>
      </c>
      <c r="AQ10" s="175">
        <f t="shared" si="0"/>
        <v>33.648648648648646</v>
      </c>
      <c r="AR10" s="188" t="s">
        <v>821</v>
      </c>
      <c r="AS10" s="188" t="s">
        <v>822</v>
      </c>
      <c r="AT10" s="193">
        <v>4.9225000000000003</v>
      </c>
      <c r="AU10" s="193">
        <v>4.9225000000000003</v>
      </c>
      <c r="AV10" s="193">
        <v>6.6574999999999998</v>
      </c>
      <c r="AW10" s="191">
        <f t="shared" ref="AW10:AW21" si="2">(AV10*AU10*AT10)/1728</f>
        <v>9.3355280155888315E-2</v>
      </c>
      <c r="AX10" s="193">
        <v>0.69</v>
      </c>
      <c r="AY10" s="193">
        <v>19.181000000000001</v>
      </c>
      <c r="AZ10" s="193">
        <v>14.430999999999999</v>
      </c>
      <c r="BA10" s="193">
        <v>6.6745000000000001</v>
      </c>
      <c r="BB10" s="191">
        <f t="shared" ref="BB10:BB22" si="3">(BA10*AZ10*AY10)/1728</f>
        <v>1.0691599235645255</v>
      </c>
      <c r="BC10" s="193">
        <f>AX10*BE10+0.4</f>
        <v>8.68</v>
      </c>
      <c r="BD10" s="215" t="s">
        <v>68</v>
      </c>
      <c r="BE10" s="193">
        <v>12</v>
      </c>
      <c r="BF10" s="193">
        <v>6</v>
      </c>
      <c r="BG10" s="193">
        <v>6</v>
      </c>
      <c r="BH10" s="194">
        <f t="shared" ref="BH10:BH22" si="4">BE10*BF10*BG10</f>
        <v>432</v>
      </c>
      <c r="BI10" s="194">
        <f t="shared" si="1"/>
        <v>362.48</v>
      </c>
      <c r="BJ10" s="194" t="s">
        <v>65</v>
      </c>
      <c r="BK10" s="194" t="s">
        <v>107</v>
      </c>
      <c r="BL10" s="199"/>
      <c r="BM10" s="38"/>
      <c r="BN10" s="38"/>
    </row>
    <row r="11" spans="1:66" ht="30">
      <c r="A11" s="244">
        <v>41685</v>
      </c>
      <c r="B11" s="193" t="s">
        <v>796</v>
      </c>
      <c r="C11" s="193" t="s">
        <v>541</v>
      </c>
      <c r="D11" s="209" t="s">
        <v>797</v>
      </c>
      <c r="E11" s="240" t="s">
        <v>172</v>
      </c>
      <c r="F11" s="216" t="s">
        <v>905</v>
      </c>
      <c r="G11" s="187" t="s">
        <v>907</v>
      </c>
      <c r="H11" s="182" t="s">
        <v>906</v>
      </c>
      <c r="I11" s="220"/>
      <c r="J11" s="182"/>
      <c r="K11" s="182"/>
      <c r="L11" s="184"/>
      <c r="M11" s="197"/>
      <c r="N11" s="197"/>
      <c r="O11" s="197"/>
      <c r="P11" s="197"/>
      <c r="Q11" s="197"/>
      <c r="R11" s="197"/>
      <c r="S11" s="197"/>
      <c r="T11" s="197"/>
      <c r="U11" s="217"/>
      <c r="V11" s="217"/>
      <c r="W11" s="181"/>
      <c r="X11" s="217"/>
      <c r="Y11" s="219"/>
      <c r="Z11" s="217"/>
      <c r="AA11" s="219"/>
      <c r="AB11" s="219" t="s">
        <v>864</v>
      </c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0">
        <v>87.38</v>
      </c>
      <c r="AQ11" s="175">
        <f t="shared" si="0"/>
        <v>196.80180180180179</v>
      </c>
      <c r="AR11" s="188" t="s">
        <v>823</v>
      </c>
      <c r="AS11" s="188" t="s">
        <v>824</v>
      </c>
      <c r="AT11" s="193">
        <v>3.992</v>
      </c>
      <c r="AU11" s="193">
        <v>3.992</v>
      </c>
      <c r="AV11" s="193">
        <v>8.234</v>
      </c>
      <c r="AW11" s="191">
        <f t="shared" si="2"/>
        <v>7.5936082740740748E-2</v>
      </c>
      <c r="AX11" s="193">
        <v>0.8</v>
      </c>
      <c r="AY11" s="193">
        <v>16.556000000000001</v>
      </c>
      <c r="AZ11" s="193">
        <v>12.555999999999999</v>
      </c>
      <c r="BA11" s="193">
        <v>8.8620000000000001</v>
      </c>
      <c r="BB11" s="191">
        <f t="shared" si="3"/>
        <v>1.0660921176111111</v>
      </c>
      <c r="BC11" s="193">
        <f>AX11*BE11+0.25</f>
        <v>9.8500000000000014</v>
      </c>
      <c r="BD11" s="215" t="s">
        <v>68</v>
      </c>
      <c r="BE11" s="193">
        <v>12</v>
      </c>
      <c r="BF11" s="193">
        <v>8</v>
      </c>
      <c r="BG11" s="193">
        <v>4</v>
      </c>
      <c r="BH11" s="194">
        <f t="shared" si="4"/>
        <v>384</v>
      </c>
      <c r="BI11" s="194">
        <f t="shared" si="1"/>
        <v>365.20000000000005</v>
      </c>
      <c r="BJ11" s="194" t="s">
        <v>65</v>
      </c>
      <c r="BK11" s="194" t="s">
        <v>107</v>
      </c>
      <c r="BL11" s="199"/>
      <c r="BM11" s="38"/>
      <c r="BN11" s="38"/>
    </row>
    <row r="12" spans="1:66">
      <c r="A12" s="244">
        <v>41685</v>
      </c>
      <c r="B12" s="193" t="s">
        <v>798</v>
      </c>
      <c r="C12" s="193" t="s">
        <v>582</v>
      </c>
      <c r="D12" s="209" t="s">
        <v>799</v>
      </c>
      <c r="E12" s="239" t="s">
        <v>85</v>
      </c>
      <c r="F12" s="216" t="s">
        <v>908</v>
      </c>
      <c r="G12" s="187" t="s">
        <v>764</v>
      </c>
      <c r="H12" s="182" t="s">
        <v>909</v>
      </c>
      <c r="I12" s="220"/>
      <c r="J12" s="182"/>
      <c r="K12" s="182"/>
      <c r="L12" s="184"/>
      <c r="M12" s="197"/>
      <c r="N12" s="197"/>
      <c r="O12" s="197"/>
      <c r="P12" s="197"/>
      <c r="Q12" s="197"/>
      <c r="R12" s="197"/>
      <c r="S12" s="197"/>
      <c r="T12" s="197"/>
      <c r="U12" s="217"/>
      <c r="V12" s="217"/>
      <c r="W12" s="181">
        <v>83640</v>
      </c>
      <c r="X12" s="217"/>
      <c r="Y12" s="219"/>
      <c r="Z12" s="217"/>
      <c r="AA12" s="219"/>
      <c r="AB12" s="219" t="s">
        <v>865</v>
      </c>
      <c r="AC12" s="217" t="s">
        <v>938</v>
      </c>
      <c r="AD12" s="217"/>
      <c r="AE12" s="217"/>
      <c r="AF12" s="217"/>
      <c r="AG12" s="217" t="s">
        <v>910</v>
      </c>
      <c r="AH12" s="217"/>
      <c r="AI12" s="217"/>
      <c r="AJ12" s="217">
        <v>9640</v>
      </c>
      <c r="AK12" s="217" t="s">
        <v>939</v>
      </c>
      <c r="AL12" s="217" t="s">
        <v>940</v>
      </c>
      <c r="AM12" s="217" t="s">
        <v>941</v>
      </c>
      <c r="AN12" s="217" t="s">
        <v>942</v>
      </c>
      <c r="AO12" s="217" t="s">
        <v>866</v>
      </c>
      <c r="AP12" s="180">
        <v>52.97</v>
      </c>
      <c r="AQ12" s="175">
        <f t="shared" si="0"/>
        <v>119.3018018018018</v>
      </c>
      <c r="AR12" s="188" t="s">
        <v>825</v>
      </c>
      <c r="AS12" s="188" t="s">
        <v>826</v>
      </c>
      <c r="AT12" s="193">
        <v>8.6560000000000006</v>
      </c>
      <c r="AU12" s="193">
        <v>2.286</v>
      </c>
      <c r="AV12" s="193">
        <v>13.942</v>
      </c>
      <c r="AW12" s="191">
        <f t="shared" si="2"/>
        <v>0.15965216566666668</v>
      </c>
      <c r="AX12" s="193">
        <v>0.4</v>
      </c>
      <c r="AY12" s="193">
        <v>14.5</v>
      </c>
      <c r="AZ12" s="193">
        <v>9.25</v>
      </c>
      <c r="BA12" s="193">
        <v>7.5</v>
      </c>
      <c r="BB12" s="191">
        <f t="shared" si="3"/>
        <v>0.58213975694444442</v>
      </c>
      <c r="BC12" s="193">
        <f>AX12*BE12+0.4</f>
        <v>1.6</v>
      </c>
      <c r="BD12" s="215" t="s">
        <v>68</v>
      </c>
      <c r="BE12" s="193">
        <v>3</v>
      </c>
      <c r="BF12" s="193">
        <v>13</v>
      </c>
      <c r="BG12" s="193">
        <v>6</v>
      </c>
      <c r="BH12" s="194">
        <f t="shared" si="4"/>
        <v>234</v>
      </c>
      <c r="BI12" s="194">
        <f t="shared" si="1"/>
        <v>174.8</v>
      </c>
      <c r="BJ12" s="193" t="s">
        <v>312</v>
      </c>
      <c r="BK12" s="194" t="s">
        <v>107</v>
      </c>
      <c r="BL12" s="199"/>
      <c r="BM12" s="38"/>
      <c r="BN12" s="38"/>
    </row>
    <row r="13" spans="1:66">
      <c r="A13" s="244">
        <v>41685</v>
      </c>
      <c r="B13" s="193" t="s">
        <v>800</v>
      </c>
      <c r="C13" s="193" t="s">
        <v>582</v>
      </c>
      <c r="D13" s="209" t="s">
        <v>801</v>
      </c>
      <c r="E13" s="239" t="s">
        <v>85</v>
      </c>
      <c r="F13" s="216" t="s">
        <v>911</v>
      </c>
      <c r="G13" s="187" t="s">
        <v>913</v>
      </c>
      <c r="H13" s="182" t="s">
        <v>912</v>
      </c>
      <c r="I13" s="220"/>
      <c r="J13" s="182"/>
      <c r="K13" s="182"/>
      <c r="L13" s="184"/>
      <c r="M13" s="197"/>
      <c r="N13" s="197"/>
      <c r="O13" s="197"/>
      <c r="P13" s="197"/>
      <c r="Q13" s="197"/>
      <c r="R13" s="197"/>
      <c r="S13" s="197"/>
      <c r="T13" s="197"/>
      <c r="U13" s="217"/>
      <c r="V13" s="217"/>
      <c r="W13" s="181">
        <v>83700</v>
      </c>
      <c r="X13" s="217"/>
      <c r="Y13" s="219"/>
      <c r="Z13" s="217"/>
      <c r="AA13" s="219"/>
      <c r="AB13" s="219" t="s">
        <v>867</v>
      </c>
      <c r="AC13" s="217" t="s">
        <v>943</v>
      </c>
      <c r="AD13" s="217"/>
      <c r="AE13" s="217"/>
      <c r="AF13" s="217"/>
      <c r="AG13" s="217"/>
      <c r="AH13" s="217"/>
      <c r="AI13" s="217"/>
      <c r="AJ13" s="217">
        <v>9700</v>
      </c>
      <c r="AK13" s="217" t="s">
        <v>944</v>
      </c>
      <c r="AL13" s="217" t="s">
        <v>944</v>
      </c>
      <c r="AN13" s="217" t="s">
        <v>945</v>
      </c>
      <c r="AO13" s="217" t="s">
        <v>868</v>
      </c>
      <c r="AP13" s="180">
        <v>23.86</v>
      </c>
      <c r="AQ13" s="175">
        <f t="shared" si="0"/>
        <v>53.738738738738739</v>
      </c>
      <c r="AR13" s="188" t="s">
        <v>827</v>
      </c>
      <c r="AS13" s="188" t="s">
        <v>828</v>
      </c>
      <c r="AT13" s="395" t="s">
        <v>720</v>
      </c>
      <c r="AU13" s="396"/>
      <c r="AV13" s="396"/>
      <c r="AW13" s="396"/>
      <c r="AX13" s="397"/>
      <c r="AY13" s="193">
        <v>15.37</v>
      </c>
      <c r="AZ13" s="193">
        <v>9.75</v>
      </c>
      <c r="BA13" s="193">
        <v>9</v>
      </c>
      <c r="BB13" s="191">
        <f t="shared" si="3"/>
        <v>0.78050781250000001</v>
      </c>
      <c r="BC13" s="193">
        <v>1.7800000000000002</v>
      </c>
      <c r="BD13" s="215" t="s">
        <v>68</v>
      </c>
      <c r="BE13" s="193">
        <v>6</v>
      </c>
      <c r="BF13" s="193">
        <v>12</v>
      </c>
      <c r="BG13" s="193">
        <v>4</v>
      </c>
      <c r="BH13" s="194">
        <f t="shared" si="4"/>
        <v>288</v>
      </c>
      <c r="BI13" s="194">
        <f t="shared" si="1"/>
        <v>135.44</v>
      </c>
      <c r="BJ13" s="193" t="s">
        <v>240</v>
      </c>
      <c r="BK13" s="194" t="s">
        <v>107</v>
      </c>
      <c r="BL13" s="199"/>
      <c r="BM13" s="38"/>
      <c r="BN13" s="38"/>
    </row>
    <row r="14" spans="1:66">
      <c r="A14" s="244">
        <v>41685</v>
      </c>
      <c r="B14" s="193" t="s">
        <v>802</v>
      </c>
      <c r="C14" s="193" t="s">
        <v>582</v>
      </c>
      <c r="D14" s="209" t="s">
        <v>799</v>
      </c>
      <c r="E14" s="239" t="s">
        <v>85</v>
      </c>
      <c r="F14" s="216" t="s">
        <v>915</v>
      </c>
      <c r="G14" s="187" t="s">
        <v>728</v>
      </c>
      <c r="H14" s="182" t="s">
        <v>914</v>
      </c>
      <c r="I14" s="220"/>
      <c r="J14" s="182"/>
      <c r="K14" s="182"/>
      <c r="L14" s="184"/>
      <c r="M14" s="197"/>
      <c r="N14" s="197"/>
      <c r="O14" s="197"/>
      <c r="P14" s="197"/>
      <c r="Q14" s="197"/>
      <c r="R14" s="197"/>
      <c r="S14" s="197"/>
      <c r="T14" s="197"/>
      <c r="U14" s="217" t="s">
        <v>869</v>
      </c>
      <c r="V14" s="217"/>
      <c r="W14" s="181">
        <v>83630</v>
      </c>
      <c r="X14" s="217"/>
      <c r="Y14" s="219"/>
      <c r="Z14" s="217"/>
      <c r="AA14" s="219"/>
      <c r="AB14" s="219" t="s">
        <v>870</v>
      </c>
      <c r="AC14" s="217" t="s">
        <v>946</v>
      </c>
      <c r="AD14" s="217"/>
      <c r="AE14" s="217" t="s">
        <v>947</v>
      </c>
      <c r="AF14" s="217"/>
      <c r="AG14" s="217"/>
      <c r="AH14" s="217"/>
      <c r="AI14" s="217"/>
      <c r="AJ14" s="217">
        <v>9630</v>
      </c>
      <c r="AK14" s="217" t="s">
        <v>948</v>
      </c>
      <c r="AL14" s="217" t="s">
        <v>949</v>
      </c>
      <c r="AM14" s="217" t="s">
        <v>950</v>
      </c>
      <c r="AN14" s="217" t="s">
        <v>951</v>
      </c>
      <c r="AO14" s="217" t="s">
        <v>871</v>
      </c>
      <c r="AP14" s="180"/>
      <c r="AQ14" s="175"/>
      <c r="AR14" s="188" t="s">
        <v>829</v>
      </c>
      <c r="AS14" s="188" t="s">
        <v>830</v>
      </c>
      <c r="AT14" s="193">
        <v>8.5359999999999996</v>
      </c>
      <c r="AU14" s="193">
        <v>2.4060000000000001</v>
      </c>
      <c r="AV14" s="193">
        <v>10.692</v>
      </c>
      <c r="AW14" s="191">
        <f t="shared" si="2"/>
        <v>0.12707649899999998</v>
      </c>
      <c r="AX14" s="193">
        <v>0.6</v>
      </c>
      <c r="AY14" s="193">
        <v>12.25</v>
      </c>
      <c r="AZ14" s="193">
        <v>10.25</v>
      </c>
      <c r="BA14" s="193">
        <v>8.25</v>
      </c>
      <c r="BB14" s="191">
        <f t="shared" si="3"/>
        <v>0.59947374131944442</v>
      </c>
      <c r="BC14" s="193">
        <f t="shared" ref="BC14:BC19" si="5">AX14*BE14+0.4</f>
        <v>2.1999999999999997</v>
      </c>
      <c r="BD14" s="215" t="s">
        <v>68</v>
      </c>
      <c r="BE14" s="193">
        <v>3</v>
      </c>
      <c r="BF14" s="193">
        <v>12</v>
      </c>
      <c r="BG14" s="193">
        <v>5</v>
      </c>
      <c r="BH14" s="194">
        <f t="shared" si="4"/>
        <v>180</v>
      </c>
      <c r="BI14" s="194">
        <f t="shared" si="1"/>
        <v>182</v>
      </c>
      <c r="BJ14" s="193" t="s">
        <v>240</v>
      </c>
      <c r="BK14" s="194" t="s">
        <v>107</v>
      </c>
      <c r="BL14" s="199"/>
      <c r="BM14" s="38"/>
      <c r="BN14" s="38"/>
    </row>
    <row r="15" spans="1:66">
      <c r="A15" s="244">
        <v>41685</v>
      </c>
      <c r="B15" s="193" t="s">
        <v>803</v>
      </c>
      <c r="C15" s="193" t="s">
        <v>582</v>
      </c>
      <c r="D15" s="209" t="s">
        <v>799</v>
      </c>
      <c r="E15" s="239" t="s">
        <v>85</v>
      </c>
      <c r="F15" s="216" t="s">
        <v>917</v>
      </c>
      <c r="G15" s="187" t="s">
        <v>728</v>
      </c>
      <c r="H15" s="182" t="s">
        <v>916</v>
      </c>
      <c r="I15" s="220"/>
      <c r="J15" s="182"/>
      <c r="K15" s="182"/>
      <c r="L15" s="184"/>
      <c r="M15" s="197"/>
      <c r="N15" s="197"/>
      <c r="O15" s="197"/>
      <c r="P15" s="197"/>
      <c r="Q15" s="197"/>
      <c r="R15" s="197"/>
      <c r="S15" s="197"/>
      <c r="T15" s="197"/>
      <c r="U15" s="217" t="s">
        <v>872</v>
      </c>
      <c r="V15" s="217"/>
      <c r="W15" s="181">
        <v>83031</v>
      </c>
      <c r="X15" s="217"/>
      <c r="Y15" s="219"/>
      <c r="Z15" s="217"/>
      <c r="AA15" s="219"/>
      <c r="AB15" s="219" t="s">
        <v>873</v>
      </c>
      <c r="AC15" s="217" t="s">
        <v>952</v>
      </c>
      <c r="AD15" s="217"/>
      <c r="AE15" s="217" t="s">
        <v>953</v>
      </c>
      <c r="AF15" s="217"/>
      <c r="AG15" s="217" t="s">
        <v>954</v>
      </c>
      <c r="AH15" s="217"/>
      <c r="AI15" s="217"/>
      <c r="AJ15" s="217">
        <v>9031</v>
      </c>
      <c r="AK15" s="217" t="s">
        <v>955</v>
      </c>
      <c r="AL15" s="217" t="s">
        <v>956</v>
      </c>
      <c r="AM15" s="217"/>
      <c r="AN15" s="217" t="s">
        <v>957</v>
      </c>
      <c r="AO15" s="217" t="s">
        <v>874</v>
      </c>
      <c r="AP15" s="180">
        <v>26.14</v>
      </c>
      <c r="AQ15" s="175">
        <f t="shared" ref="AQ15:AQ22" si="6">AP15/0.444</f>
        <v>58.873873873873876</v>
      </c>
      <c r="AR15" s="188" t="s">
        <v>831</v>
      </c>
      <c r="AS15" s="188" t="s">
        <v>832</v>
      </c>
      <c r="AT15" s="193">
        <v>8.5359999999999996</v>
      </c>
      <c r="AU15" s="193">
        <v>2.4060000000000001</v>
      </c>
      <c r="AV15" s="193">
        <v>10.692</v>
      </c>
      <c r="AW15" s="191">
        <f t="shared" si="2"/>
        <v>0.12707649899999998</v>
      </c>
      <c r="AX15" s="193">
        <v>0.6</v>
      </c>
      <c r="AY15" s="193">
        <v>12.25</v>
      </c>
      <c r="AZ15" s="193">
        <v>10.25</v>
      </c>
      <c r="BA15" s="193">
        <v>8.25</v>
      </c>
      <c r="BB15" s="191">
        <f t="shared" si="3"/>
        <v>0.59947374131944442</v>
      </c>
      <c r="BC15" s="193">
        <f t="shared" si="5"/>
        <v>2.1999999999999997</v>
      </c>
      <c r="BD15" s="215" t="s">
        <v>68</v>
      </c>
      <c r="BE15" s="193">
        <v>3</v>
      </c>
      <c r="BF15" s="193">
        <v>12</v>
      </c>
      <c r="BG15" s="193">
        <v>5</v>
      </c>
      <c r="BH15" s="194">
        <f t="shared" si="4"/>
        <v>180</v>
      </c>
      <c r="BI15" s="194">
        <f t="shared" si="1"/>
        <v>182</v>
      </c>
      <c r="BJ15" s="193" t="s">
        <v>514</v>
      </c>
      <c r="BK15" s="194" t="s">
        <v>107</v>
      </c>
      <c r="BL15" s="199"/>
      <c r="BM15" s="38"/>
      <c r="BN15" s="38"/>
    </row>
    <row r="16" spans="1:66">
      <c r="A16" s="244">
        <v>41685</v>
      </c>
      <c r="B16" s="193" t="s">
        <v>804</v>
      </c>
      <c r="C16" s="193" t="s">
        <v>582</v>
      </c>
      <c r="D16" s="209" t="s">
        <v>799</v>
      </c>
      <c r="E16" s="239" t="s">
        <v>85</v>
      </c>
      <c r="F16" s="216" t="s">
        <v>919</v>
      </c>
      <c r="G16" s="187" t="s">
        <v>728</v>
      </c>
      <c r="H16" s="182" t="s">
        <v>918</v>
      </c>
      <c r="I16" s="220"/>
      <c r="J16" s="182"/>
      <c r="K16" s="182"/>
      <c r="L16" s="184"/>
      <c r="M16" s="197"/>
      <c r="N16" s="197"/>
      <c r="O16" s="197"/>
      <c r="P16" s="197"/>
      <c r="Q16" s="197"/>
      <c r="R16" s="197"/>
      <c r="S16" s="197"/>
      <c r="T16" s="197"/>
      <c r="U16" s="217" t="s">
        <v>875</v>
      </c>
      <c r="V16" s="217"/>
      <c r="W16" s="181">
        <v>83530</v>
      </c>
      <c r="X16" s="217"/>
      <c r="Y16" s="219"/>
      <c r="Z16" s="217"/>
      <c r="AA16" s="219"/>
      <c r="AB16" s="219" t="s">
        <v>876</v>
      </c>
      <c r="AC16" s="217" t="s">
        <v>958</v>
      </c>
      <c r="AD16" s="217"/>
      <c r="AE16" s="217" t="s">
        <v>959</v>
      </c>
      <c r="AF16" s="217"/>
      <c r="AG16" s="217"/>
      <c r="AH16" s="217"/>
      <c r="AI16" s="217"/>
      <c r="AJ16" s="217">
        <v>9530</v>
      </c>
      <c r="AK16" s="217" t="s">
        <v>960</v>
      </c>
      <c r="AL16" s="217" t="s">
        <v>961</v>
      </c>
      <c r="AM16" s="217" t="s">
        <v>962</v>
      </c>
      <c r="AN16" s="217" t="s">
        <v>963</v>
      </c>
      <c r="AO16" s="217" t="s">
        <v>877</v>
      </c>
      <c r="AP16" s="180">
        <v>15.95</v>
      </c>
      <c r="AQ16" s="175">
        <f t="shared" si="6"/>
        <v>35.923423423423422</v>
      </c>
      <c r="AR16" s="188" t="s">
        <v>833</v>
      </c>
      <c r="AS16" s="188" t="s">
        <v>834</v>
      </c>
      <c r="AT16" s="193">
        <v>7.0359999999999996</v>
      </c>
      <c r="AU16" s="193">
        <v>2.536</v>
      </c>
      <c r="AV16" s="193">
        <v>11.821999999999999</v>
      </c>
      <c r="AW16" s="191">
        <f t="shared" si="2"/>
        <v>0.12207375307407406</v>
      </c>
      <c r="AX16" s="193">
        <v>0.6</v>
      </c>
      <c r="AY16" s="193">
        <v>12.25</v>
      </c>
      <c r="AZ16" s="193">
        <v>7.5</v>
      </c>
      <c r="BA16" s="193">
        <v>8.5</v>
      </c>
      <c r="BB16" s="191">
        <f t="shared" si="3"/>
        <v>0.4519314236111111</v>
      </c>
      <c r="BC16" s="193">
        <f t="shared" si="5"/>
        <v>2.1999999999999997</v>
      </c>
      <c r="BD16" s="215" t="s">
        <v>68</v>
      </c>
      <c r="BE16" s="193">
        <v>3</v>
      </c>
      <c r="BF16" s="193">
        <v>20</v>
      </c>
      <c r="BG16" s="193">
        <v>5</v>
      </c>
      <c r="BH16" s="194">
        <f t="shared" si="4"/>
        <v>300</v>
      </c>
      <c r="BI16" s="194">
        <f>(BC16*BF16*BG16)+50</f>
        <v>270</v>
      </c>
      <c r="BJ16" s="193" t="s">
        <v>240</v>
      </c>
      <c r="BK16" s="194" t="s">
        <v>107</v>
      </c>
      <c r="BL16" s="199"/>
      <c r="BM16" s="38"/>
      <c r="BN16" s="38"/>
    </row>
    <row r="17" spans="1:66" ht="30">
      <c r="A17" s="244">
        <v>41685</v>
      </c>
      <c r="B17" s="193" t="s">
        <v>805</v>
      </c>
      <c r="C17" s="193" t="s">
        <v>582</v>
      </c>
      <c r="D17" s="209" t="s">
        <v>799</v>
      </c>
      <c r="E17" s="239" t="s">
        <v>85</v>
      </c>
      <c r="F17" s="216" t="s">
        <v>921</v>
      </c>
      <c r="G17" s="187" t="s">
        <v>256</v>
      </c>
      <c r="H17" s="182" t="s">
        <v>920</v>
      </c>
      <c r="I17" s="187" t="s">
        <v>931</v>
      </c>
      <c r="J17" s="182" t="s">
        <v>922</v>
      </c>
      <c r="K17" s="182"/>
      <c r="L17" s="184"/>
      <c r="M17" s="197"/>
      <c r="N17" s="197"/>
      <c r="O17" s="197"/>
      <c r="P17" s="197"/>
      <c r="Q17" s="197"/>
      <c r="R17" s="197"/>
      <c r="S17" s="197"/>
      <c r="T17" s="197"/>
      <c r="U17" s="217" t="s">
        <v>878</v>
      </c>
      <c r="V17" s="217"/>
      <c r="W17" s="181">
        <v>83737</v>
      </c>
      <c r="X17" s="217"/>
      <c r="Y17" s="219"/>
      <c r="Z17" s="217"/>
      <c r="AA17" s="219"/>
      <c r="AB17" s="219" t="s">
        <v>879</v>
      </c>
      <c r="AC17" s="217" t="s">
        <v>964</v>
      </c>
      <c r="AD17" s="217"/>
      <c r="AE17" s="217" t="s">
        <v>965</v>
      </c>
      <c r="AF17" s="217"/>
      <c r="AG17" s="217"/>
      <c r="AH17" s="217"/>
      <c r="AI17" s="217"/>
      <c r="AJ17" s="217">
        <v>9737</v>
      </c>
      <c r="AK17" s="217" t="s">
        <v>966</v>
      </c>
      <c r="AL17" s="217" t="s">
        <v>967</v>
      </c>
      <c r="AM17" s="217"/>
      <c r="AN17" s="217" t="s">
        <v>968</v>
      </c>
      <c r="AO17" s="217" t="s">
        <v>880</v>
      </c>
      <c r="AP17" s="180">
        <v>24.04</v>
      </c>
      <c r="AQ17" s="175">
        <f t="shared" si="6"/>
        <v>54.144144144144143</v>
      </c>
      <c r="AR17" s="188" t="s">
        <v>835</v>
      </c>
      <c r="AS17" s="188" t="s">
        <v>836</v>
      </c>
      <c r="AT17" s="193">
        <v>10.536</v>
      </c>
      <c r="AU17" s="193">
        <v>2.786</v>
      </c>
      <c r="AV17" s="193">
        <v>15.071999999999999</v>
      </c>
      <c r="AW17" s="191">
        <f t="shared" si="2"/>
        <v>0.25602597066666666</v>
      </c>
      <c r="AX17" s="193">
        <v>0.64</v>
      </c>
      <c r="AY17" s="193">
        <v>15.68</v>
      </c>
      <c r="AZ17" s="193">
        <v>11.81</v>
      </c>
      <c r="BA17" s="193">
        <v>9.6199999999999992</v>
      </c>
      <c r="BB17" s="191">
        <f t="shared" si="3"/>
        <v>1.0309255185185184</v>
      </c>
      <c r="BC17" s="193">
        <f t="shared" si="5"/>
        <v>2.3199999999999998</v>
      </c>
      <c r="BD17" s="215" t="s">
        <v>68</v>
      </c>
      <c r="BE17" s="193">
        <v>3</v>
      </c>
      <c r="BF17" s="193">
        <v>10</v>
      </c>
      <c r="BG17" s="193">
        <v>4</v>
      </c>
      <c r="BH17" s="194">
        <f t="shared" si="4"/>
        <v>120</v>
      </c>
      <c r="BI17" s="194">
        <f t="shared" si="1"/>
        <v>142.80000000000001</v>
      </c>
      <c r="BJ17" s="194" t="s">
        <v>65</v>
      </c>
      <c r="BK17" s="194" t="s">
        <v>107</v>
      </c>
      <c r="BL17" s="199"/>
      <c r="BM17" s="38"/>
      <c r="BN17" s="38"/>
    </row>
    <row r="18" spans="1:66">
      <c r="A18" s="244">
        <v>41685</v>
      </c>
      <c r="B18" s="193" t="s">
        <v>806</v>
      </c>
      <c r="C18" s="193" t="s">
        <v>582</v>
      </c>
      <c r="D18" s="209" t="s">
        <v>807</v>
      </c>
      <c r="E18" s="239" t="s">
        <v>85</v>
      </c>
      <c r="F18" s="216" t="s">
        <v>924</v>
      </c>
      <c r="G18" s="187" t="s">
        <v>256</v>
      </c>
      <c r="H18" s="182" t="s">
        <v>923</v>
      </c>
      <c r="I18" s="220"/>
      <c r="J18" s="182"/>
      <c r="K18" s="182"/>
      <c r="L18" s="184"/>
      <c r="M18" s="197"/>
      <c r="N18" s="197"/>
      <c r="O18" s="197"/>
      <c r="P18" s="197"/>
      <c r="Q18" s="197"/>
      <c r="R18" s="197"/>
      <c r="S18" s="197"/>
      <c r="T18" s="197"/>
      <c r="U18" s="217"/>
      <c r="V18" s="217"/>
      <c r="W18" s="181">
        <v>83014</v>
      </c>
      <c r="X18" s="217"/>
      <c r="Y18" s="219"/>
      <c r="Z18" s="217"/>
      <c r="AA18" s="219"/>
      <c r="AB18" s="219" t="s">
        <v>881</v>
      </c>
      <c r="AC18" s="217" t="s">
        <v>969</v>
      </c>
      <c r="AD18" s="217"/>
      <c r="AE18" s="217"/>
      <c r="AF18" s="217"/>
      <c r="AG18" s="217"/>
      <c r="AH18" s="217"/>
      <c r="AI18" s="217"/>
      <c r="AJ18" s="217">
        <v>9014</v>
      </c>
      <c r="AK18" s="217" t="s">
        <v>970</v>
      </c>
      <c r="AL18" s="217" t="s">
        <v>971</v>
      </c>
      <c r="AM18" s="217" t="s">
        <v>972</v>
      </c>
      <c r="AN18" s="217" t="s">
        <v>973</v>
      </c>
      <c r="AO18" s="217" t="s">
        <v>882</v>
      </c>
      <c r="AP18" s="180">
        <v>13.51</v>
      </c>
      <c r="AQ18" s="175">
        <f t="shared" si="6"/>
        <v>30.427927927927929</v>
      </c>
      <c r="AR18" s="188" t="s">
        <v>837</v>
      </c>
      <c r="AS18" s="188" t="s">
        <v>838</v>
      </c>
      <c r="AT18" s="193">
        <v>7.0359999999999996</v>
      </c>
      <c r="AU18" s="193">
        <v>7.0359999999999996</v>
      </c>
      <c r="AV18" s="193">
        <v>7.2519999999999998</v>
      </c>
      <c r="AW18" s="191">
        <f t="shared" si="2"/>
        <v>0.20776180937037034</v>
      </c>
      <c r="AX18" s="193">
        <v>0.65</v>
      </c>
      <c r="AY18" s="193">
        <v>21.75</v>
      </c>
      <c r="AZ18" s="193">
        <v>7.43</v>
      </c>
      <c r="BA18" s="193">
        <v>7.81</v>
      </c>
      <c r="BB18" s="191">
        <f t="shared" si="3"/>
        <v>0.73039092881944445</v>
      </c>
      <c r="BC18" s="193">
        <f t="shared" si="5"/>
        <v>2.35</v>
      </c>
      <c r="BD18" s="215" t="s">
        <v>68</v>
      </c>
      <c r="BE18" s="193">
        <v>3</v>
      </c>
      <c r="BF18" s="193">
        <v>10</v>
      </c>
      <c r="BG18" s="193">
        <v>5</v>
      </c>
      <c r="BH18" s="194">
        <f t="shared" si="4"/>
        <v>150</v>
      </c>
      <c r="BI18" s="194">
        <f>(BC18*BF18*BG18)+50</f>
        <v>167.5</v>
      </c>
      <c r="BJ18" s="193" t="s">
        <v>514</v>
      </c>
      <c r="BK18" s="194" t="s">
        <v>107</v>
      </c>
      <c r="BL18" s="199"/>
      <c r="BM18" s="38"/>
      <c r="BN18" s="38"/>
    </row>
    <row r="19" spans="1:66">
      <c r="A19" s="244">
        <v>41685</v>
      </c>
      <c r="B19" s="193" t="s">
        <v>808</v>
      </c>
      <c r="C19" s="193" t="s">
        <v>582</v>
      </c>
      <c r="D19" s="209" t="s">
        <v>799</v>
      </c>
      <c r="E19" s="239" t="s">
        <v>85</v>
      </c>
      <c r="F19" s="216" t="s">
        <v>926</v>
      </c>
      <c r="G19" s="187" t="s">
        <v>728</v>
      </c>
      <c r="H19" s="182" t="s">
        <v>925</v>
      </c>
      <c r="I19" s="220"/>
      <c r="J19" s="182"/>
      <c r="K19" s="182"/>
      <c r="L19" s="184"/>
      <c r="M19" s="197"/>
      <c r="N19" s="197"/>
      <c r="O19" s="197"/>
      <c r="P19" s="197"/>
      <c r="Q19" s="197"/>
      <c r="R19" s="197"/>
      <c r="S19" s="197"/>
      <c r="T19" s="197"/>
      <c r="U19" s="217"/>
      <c r="V19" s="217"/>
      <c r="W19" s="181">
        <v>83610</v>
      </c>
      <c r="X19" s="217"/>
      <c r="Y19" s="219"/>
      <c r="Z19" s="217"/>
      <c r="AA19" s="219"/>
      <c r="AB19" s="219" t="s">
        <v>883</v>
      </c>
      <c r="AC19" s="217" t="s">
        <v>974</v>
      </c>
      <c r="AD19" s="217"/>
      <c r="AE19" s="217" t="s">
        <v>975</v>
      </c>
      <c r="AF19" s="217"/>
      <c r="AG19" s="217"/>
      <c r="AH19" s="217"/>
      <c r="AI19" s="217"/>
      <c r="AJ19" s="217">
        <v>9610</v>
      </c>
      <c r="AK19" s="217" t="s">
        <v>976</v>
      </c>
      <c r="AL19" s="217" t="s">
        <v>977</v>
      </c>
      <c r="AM19" s="217"/>
      <c r="AN19" s="217" t="s">
        <v>978</v>
      </c>
      <c r="AO19" s="217" t="s">
        <v>884</v>
      </c>
      <c r="AP19" s="180">
        <v>16.11</v>
      </c>
      <c r="AQ19" s="175">
        <f t="shared" si="6"/>
        <v>36.283783783783782</v>
      </c>
      <c r="AR19" s="188" t="s">
        <v>839</v>
      </c>
      <c r="AS19" s="188" t="s">
        <v>840</v>
      </c>
      <c r="AT19" s="193">
        <v>7.7859999999999996</v>
      </c>
      <c r="AU19" s="193">
        <v>2.536</v>
      </c>
      <c r="AV19" s="193">
        <v>12.821999999999999</v>
      </c>
      <c r="AW19" s="191">
        <f t="shared" si="2"/>
        <v>0.14651283872222221</v>
      </c>
      <c r="AX19" s="193">
        <v>0.8</v>
      </c>
      <c r="AY19" s="193">
        <v>13.5</v>
      </c>
      <c r="AZ19" s="193">
        <v>8.25</v>
      </c>
      <c r="BA19" s="193">
        <v>8.5</v>
      </c>
      <c r="BB19" s="191">
        <f t="shared" si="3"/>
        <v>0.5478515625</v>
      </c>
      <c r="BC19" s="193">
        <f t="shared" si="5"/>
        <v>2.8000000000000003</v>
      </c>
      <c r="BD19" s="215" t="s">
        <v>68</v>
      </c>
      <c r="BE19" s="193">
        <v>3</v>
      </c>
      <c r="BF19" s="193">
        <v>14</v>
      </c>
      <c r="BG19" s="193">
        <v>5</v>
      </c>
      <c r="BH19" s="194">
        <f t="shared" si="4"/>
        <v>210</v>
      </c>
      <c r="BI19" s="194">
        <f>(BC19*BF19*BG19)+50</f>
        <v>246</v>
      </c>
      <c r="BJ19" s="193" t="s">
        <v>240</v>
      </c>
      <c r="BK19" s="194" t="s">
        <v>107</v>
      </c>
      <c r="BL19" s="199"/>
      <c r="BM19" s="38"/>
      <c r="BN19" s="38"/>
    </row>
    <row r="20" spans="1:66" ht="30">
      <c r="A20" s="244">
        <v>41685</v>
      </c>
      <c r="B20" s="193" t="s">
        <v>809</v>
      </c>
      <c r="C20" s="193" t="s">
        <v>582</v>
      </c>
      <c r="D20" s="209" t="s">
        <v>810</v>
      </c>
      <c r="E20" s="240" t="s">
        <v>304</v>
      </c>
      <c r="F20" s="216" t="s">
        <v>927</v>
      </c>
      <c r="G20" s="187" t="s">
        <v>929</v>
      </c>
      <c r="H20" s="182" t="s">
        <v>928</v>
      </c>
      <c r="I20" s="220"/>
      <c r="J20" s="182"/>
      <c r="K20" s="182"/>
      <c r="L20" s="184"/>
      <c r="M20" s="197"/>
      <c r="N20" s="197"/>
      <c r="O20" s="197"/>
      <c r="P20" s="197"/>
      <c r="Q20" s="197"/>
      <c r="R20" s="197"/>
      <c r="S20" s="197"/>
      <c r="T20" s="197"/>
      <c r="U20" s="217"/>
      <c r="V20" s="217"/>
      <c r="W20" s="181">
        <v>84260</v>
      </c>
      <c r="X20" s="217"/>
      <c r="Y20" s="219"/>
      <c r="Z20" s="217" t="s">
        <v>809</v>
      </c>
      <c r="AA20" s="219"/>
      <c r="AB20" s="219" t="s">
        <v>885</v>
      </c>
      <c r="AC20" s="217"/>
      <c r="AD20" s="217"/>
      <c r="AE20" s="217"/>
      <c r="AF20" s="217"/>
      <c r="AG20" s="217"/>
      <c r="AH20" s="217"/>
      <c r="AI20" s="217"/>
      <c r="AJ20" s="217">
        <v>7260</v>
      </c>
      <c r="AK20" s="217" t="s">
        <v>979</v>
      </c>
      <c r="AL20" s="217" t="s">
        <v>980</v>
      </c>
      <c r="AM20" s="217"/>
      <c r="AN20" s="217" t="s">
        <v>981</v>
      </c>
      <c r="AO20" s="217" t="s">
        <v>886</v>
      </c>
      <c r="AP20" s="180">
        <v>9.4499999999999993</v>
      </c>
      <c r="AQ20" s="175">
        <f t="shared" si="6"/>
        <v>21.283783783783782</v>
      </c>
      <c r="AR20" s="188" t="s">
        <v>841</v>
      </c>
      <c r="AS20" s="188" t="s">
        <v>842</v>
      </c>
      <c r="AT20" s="193">
        <v>2.786</v>
      </c>
      <c r="AU20" s="193">
        <v>2.786</v>
      </c>
      <c r="AV20" s="193">
        <v>3.6970000000000001</v>
      </c>
      <c r="AW20" s="191">
        <f t="shared" si="2"/>
        <v>1.6606111002314815E-2</v>
      </c>
      <c r="AX20" s="193">
        <v>0.4</v>
      </c>
      <c r="AY20" s="193">
        <v>9</v>
      </c>
      <c r="AZ20" s="193">
        <v>6.25</v>
      </c>
      <c r="BA20" s="193">
        <v>4.37</v>
      </c>
      <c r="BB20" s="191">
        <f t="shared" si="3"/>
        <v>0.14225260416666666</v>
      </c>
      <c r="BC20" s="193">
        <f>AX20*BE20+0.25</f>
        <v>2.6500000000000004</v>
      </c>
      <c r="BD20" s="215" t="s">
        <v>68</v>
      </c>
      <c r="BE20" s="193">
        <v>6</v>
      </c>
      <c r="BF20" s="193">
        <v>30</v>
      </c>
      <c r="BG20" s="193">
        <v>10</v>
      </c>
      <c r="BH20" s="194">
        <f t="shared" si="4"/>
        <v>1800</v>
      </c>
      <c r="BI20" s="194">
        <f>(BC20*BF20*BG20)+50</f>
        <v>845.00000000000011</v>
      </c>
      <c r="BJ20" s="193" t="s">
        <v>240</v>
      </c>
      <c r="BK20" s="194" t="s">
        <v>107</v>
      </c>
      <c r="BL20" s="199"/>
      <c r="BM20" s="38"/>
      <c r="BN20" s="38"/>
    </row>
    <row r="21" spans="1:66" ht="30">
      <c r="A21" s="244">
        <v>41685</v>
      </c>
      <c r="B21" s="193" t="s">
        <v>811</v>
      </c>
      <c r="C21" s="193" t="s">
        <v>582</v>
      </c>
      <c r="D21" s="209" t="s">
        <v>810</v>
      </c>
      <c r="E21" s="240" t="s">
        <v>304</v>
      </c>
      <c r="F21" s="216" t="s">
        <v>932</v>
      </c>
      <c r="G21" s="187" t="s">
        <v>931</v>
      </c>
      <c r="H21" s="182" t="s">
        <v>930</v>
      </c>
      <c r="I21" s="220" t="s">
        <v>933</v>
      </c>
      <c r="J21" s="182">
        <v>95810722210</v>
      </c>
      <c r="K21" s="182"/>
      <c r="L21" s="184"/>
      <c r="M21" s="197"/>
      <c r="N21" s="197"/>
      <c r="O21" s="197"/>
      <c r="P21" s="197"/>
      <c r="Q21" s="197"/>
      <c r="R21" s="197"/>
      <c r="S21" s="197"/>
      <c r="T21" s="197"/>
      <c r="U21" s="217"/>
      <c r="V21" s="217"/>
      <c r="W21" s="181">
        <v>84462</v>
      </c>
      <c r="X21" s="217"/>
      <c r="Y21" s="219"/>
      <c r="Z21" s="217" t="s">
        <v>811</v>
      </c>
      <c r="AA21" s="219"/>
      <c r="AB21" s="219" t="s">
        <v>887</v>
      </c>
      <c r="AC21" s="217" t="s">
        <v>982</v>
      </c>
      <c r="AD21" s="217"/>
      <c r="AE21" s="217"/>
      <c r="AF21" s="217"/>
      <c r="AG21" s="217"/>
      <c r="AH21" s="217"/>
      <c r="AI21" s="217"/>
      <c r="AJ21" s="217">
        <v>7462</v>
      </c>
      <c r="AK21" s="217" t="s">
        <v>983</v>
      </c>
      <c r="AL21" s="217" t="s">
        <v>984</v>
      </c>
      <c r="AM21" s="217"/>
      <c r="AN21" s="217" t="s">
        <v>985</v>
      </c>
      <c r="AO21" s="217" t="s">
        <v>888</v>
      </c>
      <c r="AP21" s="180">
        <v>15.19</v>
      </c>
      <c r="AQ21" s="175">
        <f t="shared" si="6"/>
        <v>34.211711711711708</v>
      </c>
      <c r="AR21" s="188" t="s">
        <v>843</v>
      </c>
      <c r="AS21" s="188" t="s">
        <v>844</v>
      </c>
      <c r="AT21" s="193">
        <v>3.8479999999999999</v>
      </c>
      <c r="AU21" s="193">
        <v>3.8479999999999999</v>
      </c>
      <c r="AV21" s="193">
        <v>5.4470000000000001</v>
      </c>
      <c r="AW21" s="191">
        <f t="shared" si="2"/>
        <v>4.6674939518518511E-2</v>
      </c>
      <c r="AX21" s="193">
        <v>0.5</v>
      </c>
      <c r="AY21" s="193">
        <v>11.93</v>
      </c>
      <c r="AZ21" s="193">
        <v>8</v>
      </c>
      <c r="BA21" s="193">
        <v>6</v>
      </c>
      <c r="BB21" s="191">
        <f t="shared" si="3"/>
        <v>0.3313888888888889</v>
      </c>
      <c r="BC21" s="193">
        <f>AX21*BE21+0.25</f>
        <v>3.25</v>
      </c>
      <c r="BD21" s="215" t="s">
        <v>68</v>
      </c>
      <c r="BE21" s="193">
        <v>6</v>
      </c>
      <c r="BF21" s="193">
        <v>20</v>
      </c>
      <c r="BG21" s="193">
        <v>7</v>
      </c>
      <c r="BH21" s="194">
        <f t="shared" si="4"/>
        <v>840</v>
      </c>
      <c r="BI21" s="194">
        <f>(BC21*BF21*BG21)+50</f>
        <v>505</v>
      </c>
      <c r="BJ21" s="193" t="s">
        <v>711</v>
      </c>
      <c r="BK21" s="194" t="s">
        <v>107</v>
      </c>
      <c r="BL21" s="199"/>
      <c r="BM21" s="38"/>
      <c r="BN21" s="38"/>
    </row>
    <row r="22" spans="1:66" ht="30">
      <c r="A22" s="244">
        <v>41685</v>
      </c>
      <c r="B22" s="193" t="s">
        <v>812</v>
      </c>
      <c r="C22" s="193" t="s">
        <v>582</v>
      </c>
      <c r="D22" s="209" t="s">
        <v>801</v>
      </c>
      <c r="E22" s="240" t="s">
        <v>748</v>
      </c>
      <c r="F22" s="216" t="s">
        <v>936</v>
      </c>
      <c r="G22" s="187" t="s">
        <v>420</v>
      </c>
      <c r="H22" s="182" t="s">
        <v>934</v>
      </c>
      <c r="I22" s="220" t="s">
        <v>51</v>
      </c>
      <c r="J22" s="182" t="s">
        <v>935</v>
      </c>
      <c r="K22" s="182"/>
      <c r="L22" s="184"/>
      <c r="M22" s="197"/>
      <c r="N22" s="197"/>
      <c r="O22" s="197"/>
      <c r="P22" s="197"/>
      <c r="Q22" s="197"/>
      <c r="R22" s="197"/>
      <c r="S22" s="197"/>
      <c r="T22" s="197"/>
      <c r="U22" s="217"/>
      <c r="V22" s="217"/>
      <c r="W22" s="181">
        <v>89367</v>
      </c>
      <c r="X22" s="217"/>
      <c r="Y22" s="219"/>
      <c r="Z22" s="217"/>
      <c r="AA22" s="219"/>
      <c r="AB22" s="219" t="s">
        <v>889</v>
      </c>
      <c r="AC22" s="217" t="s">
        <v>986</v>
      </c>
      <c r="AD22" s="217"/>
      <c r="AE22" s="217"/>
      <c r="AF22" s="217"/>
      <c r="AG22" s="217"/>
      <c r="AH22" s="217"/>
      <c r="AI22" s="217"/>
      <c r="AJ22" s="217">
        <v>4367</v>
      </c>
      <c r="AK22" s="217" t="s">
        <v>987</v>
      </c>
      <c r="AL22" s="217" t="s">
        <v>987</v>
      </c>
      <c r="AM22" s="217" t="s">
        <v>812</v>
      </c>
      <c r="AN22" s="217" t="s">
        <v>988</v>
      </c>
      <c r="AO22" s="217" t="s">
        <v>890</v>
      </c>
      <c r="AP22" s="180">
        <v>19.809999999999999</v>
      </c>
      <c r="AQ22" s="175">
        <f t="shared" si="6"/>
        <v>44.617117117117111</v>
      </c>
      <c r="AR22" s="188" t="s">
        <v>845</v>
      </c>
      <c r="AS22" s="188" t="s">
        <v>846</v>
      </c>
      <c r="AT22" s="395" t="s">
        <v>720</v>
      </c>
      <c r="AU22" s="396"/>
      <c r="AV22" s="396"/>
      <c r="AW22" s="396"/>
      <c r="AX22" s="397"/>
      <c r="AY22" s="193">
        <v>12</v>
      </c>
      <c r="AZ22" s="193">
        <v>12</v>
      </c>
      <c r="BA22" s="193">
        <v>9</v>
      </c>
      <c r="BB22" s="191">
        <f t="shared" si="3"/>
        <v>0.75</v>
      </c>
      <c r="BC22" s="193">
        <v>1.69</v>
      </c>
      <c r="BD22" s="215" t="s">
        <v>68</v>
      </c>
      <c r="BE22" s="193">
        <v>6</v>
      </c>
      <c r="BF22" s="193">
        <v>12</v>
      </c>
      <c r="BG22" s="193">
        <v>5</v>
      </c>
      <c r="BH22" s="194">
        <f t="shared" si="4"/>
        <v>360</v>
      </c>
      <c r="BI22" s="194">
        <f>(BC22*BF22*BG22)+50</f>
        <v>151.4</v>
      </c>
      <c r="BJ22" s="194" t="s">
        <v>65</v>
      </c>
      <c r="BK22" s="194" t="s">
        <v>107</v>
      </c>
      <c r="BL22" s="199"/>
      <c r="BM22" s="38"/>
      <c r="BN22" s="38"/>
    </row>
    <row r="23" spans="1:66" ht="15" customHeight="1">
      <c r="B23" s="222"/>
      <c r="C23" s="223"/>
      <c r="E23" s="46"/>
      <c r="G23" s="224"/>
      <c r="H23" s="225"/>
      <c r="I23" s="226"/>
      <c r="J23" s="225"/>
      <c r="K23" s="225"/>
      <c r="L23" s="227"/>
      <c r="M23" s="31"/>
      <c r="N23" s="31"/>
      <c r="O23" s="31"/>
      <c r="P23" s="31"/>
      <c r="Q23" s="31"/>
      <c r="R23" s="31"/>
      <c r="S23" s="31"/>
      <c r="T23" s="31"/>
      <c r="U23" s="228"/>
      <c r="V23" s="228"/>
      <c r="W23" s="229"/>
      <c r="X23" s="228"/>
      <c r="Y23" s="229"/>
      <c r="Z23" s="228"/>
      <c r="AA23" s="229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30"/>
      <c r="AQ23" s="231"/>
      <c r="AR23" s="222"/>
      <c r="AS23" s="232"/>
      <c r="AT23" s="233"/>
      <c r="AU23" s="233"/>
      <c r="AV23" s="233"/>
      <c r="AW23" s="233"/>
      <c r="AX23" s="233"/>
      <c r="AY23" s="234"/>
      <c r="AZ23" s="234"/>
      <c r="BA23" s="234"/>
      <c r="BB23" s="235"/>
      <c r="BC23" s="135"/>
      <c r="BD23" s="222"/>
      <c r="BE23" s="222"/>
      <c r="BF23" s="222"/>
      <c r="BG23" s="222"/>
      <c r="BH23" s="236"/>
      <c r="BI23" s="236"/>
      <c r="BJ23" s="236"/>
      <c r="BK23" s="236"/>
      <c r="BL23" s="38"/>
      <c r="BM23" s="38"/>
      <c r="BN23" s="38"/>
    </row>
    <row r="24" spans="1:66" s="146" customFormat="1">
      <c r="B24" s="142"/>
      <c r="C24" s="142"/>
      <c r="D24" s="142"/>
      <c r="E24" s="11"/>
      <c r="F24" s="142"/>
      <c r="G24" s="142"/>
      <c r="H24" s="89"/>
      <c r="I24" s="11"/>
      <c r="J24" s="11"/>
      <c r="K24" s="11"/>
      <c r="U24" s="11"/>
      <c r="AA24" s="11"/>
      <c r="AB24" s="11"/>
      <c r="AP24" s="143"/>
      <c r="AQ24" s="144"/>
      <c r="AR24" s="11"/>
      <c r="AT24" s="86"/>
      <c r="AU24" s="86"/>
      <c r="AV24" s="86"/>
      <c r="AW24" s="11"/>
      <c r="AX24" s="86"/>
      <c r="AY24" s="86"/>
      <c r="AZ24" s="86"/>
      <c r="BA24" s="86"/>
      <c r="BB24" s="11"/>
      <c r="BC24" s="86"/>
      <c r="BD24" s="11"/>
      <c r="BE24" s="11"/>
      <c r="BJ24" s="11"/>
      <c r="BK24" s="89"/>
    </row>
    <row r="25" spans="1:66" ht="7.5" customHeight="1">
      <c r="B25" s="160"/>
      <c r="C25" s="160"/>
      <c r="D25" s="160"/>
      <c r="E25" s="161"/>
      <c r="F25" s="160"/>
      <c r="G25" s="160"/>
      <c r="H25" s="160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1"/>
      <c r="V25" s="162"/>
      <c r="W25" s="162"/>
      <c r="X25" s="162"/>
      <c r="Y25" s="162"/>
      <c r="Z25" s="162"/>
      <c r="AA25" s="161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3"/>
      <c r="AQ25" s="164"/>
      <c r="AR25" s="161"/>
      <c r="AS25" s="162"/>
      <c r="AT25" s="165"/>
      <c r="AU25" s="165"/>
      <c r="AV25" s="165"/>
      <c r="AW25" s="161"/>
      <c r="AX25" s="165"/>
      <c r="AY25" s="165"/>
      <c r="AZ25" s="165"/>
      <c r="BA25" s="165"/>
      <c r="BB25" s="161"/>
      <c r="BC25" s="165"/>
      <c r="BD25" s="161"/>
      <c r="BE25" s="161"/>
      <c r="BF25" s="162"/>
      <c r="BG25" s="162"/>
      <c r="BH25" s="162"/>
      <c r="BI25" s="162"/>
      <c r="BJ25" s="161"/>
      <c r="BK25" s="166"/>
      <c r="BL25" s="162"/>
      <c r="BM25" s="146"/>
      <c r="BN25" s="146"/>
    </row>
    <row r="26" spans="1:66" ht="7.5" customHeight="1">
      <c r="B26" s="142"/>
      <c r="C26" s="142"/>
      <c r="D26" s="142"/>
      <c r="F26" s="142"/>
      <c r="G26" s="142"/>
      <c r="H26" s="142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V26" s="146"/>
      <c r="W26" s="146"/>
      <c r="X26" s="146"/>
      <c r="Y26" s="146"/>
      <c r="Z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3"/>
      <c r="AQ26" s="144"/>
      <c r="AS26" s="146"/>
      <c r="AT26" s="86"/>
      <c r="AU26" s="86"/>
      <c r="AV26" s="86"/>
      <c r="AX26" s="86"/>
      <c r="AY26" s="86"/>
      <c r="AZ26" s="86"/>
      <c r="BA26" s="86"/>
      <c r="BC26" s="86"/>
      <c r="BF26" s="146"/>
      <c r="BG26" s="146"/>
      <c r="BH26" s="146"/>
      <c r="BI26" s="146"/>
      <c r="BK26" s="89"/>
      <c r="BL26" s="146"/>
      <c r="BM26" s="146"/>
      <c r="BN26" s="146"/>
    </row>
    <row r="27" spans="1:66" ht="23.25">
      <c r="B27" s="142"/>
      <c r="C27" s="142"/>
      <c r="D27" s="142"/>
      <c r="F27" s="159" t="s">
        <v>542</v>
      </c>
      <c r="H27" s="142"/>
      <c r="V27" s="146"/>
      <c r="W27" s="146"/>
      <c r="X27" s="146"/>
      <c r="Z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3"/>
      <c r="AQ27" s="144"/>
      <c r="AS27" s="146"/>
      <c r="AT27" s="86"/>
      <c r="AU27" s="86"/>
      <c r="AV27" s="86"/>
      <c r="AX27" s="86"/>
      <c r="AY27" s="86"/>
      <c r="AZ27" s="86"/>
      <c r="BA27" s="86"/>
      <c r="BC27" s="86"/>
      <c r="BF27" s="146"/>
      <c r="BG27" s="146"/>
      <c r="BH27" s="146"/>
      <c r="BI27" s="146"/>
      <c r="BK27" s="89"/>
      <c r="BL27" s="146"/>
      <c r="BM27" s="146"/>
      <c r="BN27" s="146"/>
    </row>
    <row r="28" spans="1:66" s="146" customFormat="1">
      <c r="B28" s="142"/>
      <c r="C28" s="142"/>
      <c r="D28" s="142"/>
      <c r="E28" s="11"/>
      <c r="F28" s="142"/>
      <c r="G28" s="142"/>
      <c r="H28" s="14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43"/>
      <c r="AQ28" s="144"/>
      <c r="AR28" s="11"/>
      <c r="AS28" s="11"/>
      <c r="AT28" s="86"/>
      <c r="AU28" s="86"/>
      <c r="AV28" s="86"/>
      <c r="AW28" s="11"/>
      <c r="AX28" s="86"/>
      <c r="AY28" s="86"/>
      <c r="AZ28" s="86"/>
      <c r="BA28" s="86"/>
      <c r="BB28" s="11"/>
      <c r="BC28" s="86"/>
      <c r="BD28" s="11"/>
      <c r="BE28" s="11"/>
      <c r="BF28" s="11"/>
      <c r="BG28" s="11"/>
      <c r="BJ28" s="11"/>
      <c r="BK28" s="89"/>
      <c r="BL28" s="11"/>
      <c r="BM28" s="11"/>
      <c r="BN28" s="11"/>
    </row>
    <row r="29" spans="1:66">
      <c r="B29" s="142"/>
      <c r="C29" s="142"/>
      <c r="D29" s="142"/>
      <c r="F29" s="30" t="s">
        <v>543</v>
      </c>
      <c r="G29" s="32" t="s">
        <v>699</v>
      </c>
      <c r="H29" s="32" t="s">
        <v>544</v>
      </c>
      <c r="AP29" s="143"/>
      <c r="AQ29" s="144"/>
      <c r="AT29" s="86"/>
      <c r="AU29" s="86"/>
      <c r="AV29" s="86"/>
      <c r="AX29" s="86"/>
      <c r="AY29" s="86"/>
      <c r="AZ29" s="86"/>
      <c r="BA29" s="86"/>
      <c r="BC29" s="86"/>
      <c r="BH29" s="146"/>
      <c r="BI29" s="146"/>
      <c r="BK29" s="89"/>
    </row>
    <row r="30" spans="1:66">
      <c r="B30" s="154"/>
      <c r="C30" s="151"/>
      <c r="D30" s="151"/>
      <c r="E30" s="152"/>
      <c r="F30" s="156"/>
      <c r="G30" s="157"/>
      <c r="H30" s="153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V30" s="146"/>
      <c r="W30" s="146"/>
      <c r="X30" s="146"/>
      <c r="Y30" s="146"/>
      <c r="Z30" s="146"/>
      <c r="AE30" s="146"/>
      <c r="AF30" s="146"/>
      <c r="AG30" s="146"/>
      <c r="AH30" s="146"/>
      <c r="AI30" s="146"/>
      <c r="AJ30" s="146"/>
      <c r="AL30" s="146"/>
      <c r="AM30" s="146"/>
      <c r="AN30" s="146"/>
      <c r="AO30" s="146"/>
      <c r="AP30" s="143"/>
      <c r="AQ30" s="144"/>
      <c r="AS30" s="146"/>
      <c r="AT30" s="86"/>
      <c r="AU30" s="86"/>
      <c r="AV30" s="86"/>
      <c r="AX30" s="86"/>
      <c r="AY30" s="86"/>
      <c r="AZ30" s="86"/>
      <c r="BA30" s="86"/>
      <c r="BC30" s="86"/>
      <c r="BF30" s="146"/>
      <c r="BG30" s="146"/>
      <c r="BH30" s="146"/>
      <c r="BI30" s="146"/>
      <c r="BK30" s="89"/>
      <c r="BL30" s="146"/>
      <c r="BM30" s="146"/>
      <c r="BN30" s="146"/>
    </row>
    <row r="31" spans="1:66">
      <c r="B31" s="142"/>
      <c r="C31" s="142"/>
      <c r="D31" s="142"/>
      <c r="F31" s="142"/>
      <c r="G31" s="142"/>
      <c r="H31" s="142"/>
      <c r="AQ31" s="144"/>
      <c r="AR31" s="146"/>
      <c r="BI31" s="146"/>
      <c r="BK31" s="89"/>
    </row>
    <row r="32" spans="1:66" ht="7.5" customHeight="1">
      <c r="B32" s="160"/>
      <c r="C32" s="160"/>
      <c r="D32" s="160"/>
      <c r="E32" s="161"/>
      <c r="F32" s="160"/>
      <c r="G32" s="160"/>
      <c r="H32" s="160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V32" s="146"/>
      <c r="W32" s="146"/>
      <c r="X32" s="146"/>
      <c r="Y32" s="146"/>
      <c r="Z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3"/>
      <c r="AQ32" s="144"/>
      <c r="AS32" s="146"/>
      <c r="AT32" s="86"/>
      <c r="AU32" s="86"/>
      <c r="AV32" s="86"/>
      <c r="AX32" s="86"/>
      <c r="AY32" s="86"/>
      <c r="AZ32" s="86"/>
      <c r="BA32" s="86"/>
      <c r="BC32" s="86"/>
      <c r="BF32" s="146"/>
      <c r="BG32" s="146"/>
      <c r="BH32" s="146"/>
      <c r="BI32" s="146"/>
      <c r="BK32" s="89"/>
      <c r="BL32" s="146"/>
      <c r="BM32" s="146"/>
      <c r="BN32" s="146"/>
    </row>
    <row r="33" spans="2:66" ht="7.5" customHeight="1">
      <c r="B33" s="142"/>
      <c r="C33" s="142"/>
      <c r="D33" s="142"/>
      <c r="F33" s="142"/>
      <c r="G33" s="142"/>
      <c r="H33" s="142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V33" s="146"/>
      <c r="W33" s="146"/>
      <c r="X33" s="146"/>
      <c r="Y33" s="146"/>
      <c r="Z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3"/>
      <c r="AQ33" s="144"/>
      <c r="AS33" s="146"/>
      <c r="AT33" s="86"/>
      <c r="AU33" s="86"/>
      <c r="AV33" s="86"/>
      <c r="AX33" s="86"/>
      <c r="AY33" s="86"/>
      <c r="AZ33" s="86"/>
      <c r="BA33" s="86"/>
      <c r="BC33" s="86"/>
      <c r="BF33" s="146"/>
      <c r="BG33" s="146"/>
      <c r="BH33" s="146"/>
      <c r="BI33" s="146"/>
      <c r="BK33" s="89"/>
      <c r="BL33" s="146"/>
      <c r="BM33" s="146"/>
      <c r="BN33" s="146"/>
    </row>
    <row r="34" spans="2:66" ht="23.25">
      <c r="B34" s="142"/>
      <c r="C34" s="142"/>
      <c r="D34" s="142"/>
      <c r="F34" s="173" t="s">
        <v>548</v>
      </c>
      <c r="H34" s="142"/>
      <c r="AQ34" s="144"/>
      <c r="AR34" s="146"/>
      <c r="BI34" s="146"/>
      <c r="BK34" s="89"/>
    </row>
    <row r="35" spans="2:66" ht="16.5" customHeight="1">
      <c r="B35" s="142"/>
      <c r="C35" s="142"/>
      <c r="D35" s="142"/>
      <c r="F35" s="142"/>
      <c r="G35" s="158"/>
      <c r="H35" s="142"/>
      <c r="AQ35" s="144"/>
      <c r="AR35" s="146"/>
      <c r="BI35" s="146"/>
      <c r="BK35" s="89"/>
    </row>
    <row r="36" spans="2:66" s="136" customFormat="1">
      <c r="B36" s="11"/>
      <c r="C36" s="11"/>
      <c r="D36" s="11"/>
      <c r="E36" s="11"/>
      <c r="F36" s="30" t="s">
        <v>546</v>
      </c>
      <c r="G36" s="171" t="s">
        <v>547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43"/>
      <c r="AQ36" s="144"/>
      <c r="AR36" s="146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46"/>
      <c r="BJ36" s="11"/>
      <c r="BK36" s="11"/>
      <c r="BL36" s="11"/>
      <c r="BM36" s="11"/>
      <c r="BN36" s="11"/>
    </row>
    <row r="37" spans="2:66">
      <c r="B37" s="155"/>
      <c r="C37" s="152"/>
      <c r="D37" s="152"/>
      <c r="E37" s="152"/>
      <c r="F37" s="167"/>
      <c r="G37" s="172"/>
      <c r="H37" s="170"/>
      <c r="AP37" s="143"/>
      <c r="AQ37" s="144"/>
      <c r="AR37" s="146"/>
      <c r="BI37" s="146"/>
    </row>
    <row r="38" spans="2:66">
      <c r="B38" s="168"/>
      <c r="C38" s="152"/>
      <c r="D38" s="152"/>
      <c r="E38" s="152"/>
      <c r="F38" s="167"/>
      <c r="G38" s="169"/>
      <c r="H38" s="170"/>
      <c r="AP38" s="143"/>
      <c r="AQ38" s="144"/>
      <c r="AR38" s="146"/>
      <c r="BI38" s="146"/>
    </row>
    <row r="39" spans="2:66">
      <c r="B39" s="168"/>
      <c r="C39" s="152"/>
      <c r="D39" s="152"/>
      <c r="E39" s="152"/>
      <c r="F39" s="167"/>
      <c r="G39" s="169"/>
      <c r="H39" s="170"/>
      <c r="V39" s="146"/>
      <c r="W39" s="146"/>
      <c r="X39" s="146"/>
      <c r="Z39" s="146"/>
      <c r="AB39" s="146"/>
      <c r="AC39" s="146"/>
      <c r="AE39" s="146"/>
      <c r="AF39" s="146"/>
      <c r="AH39" s="146"/>
      <c r="AI39" s="146"/>
      <c r="AJ39" s="146"/>
      <c r="AK39" s="146"/>
      <c r="AL39" s="146"/>
      <c r="AM39" s="146"/>
      <c r="AN39" s="146"/>
      <c r="AO39" s="146"/>
      <c r="AP39" s="143"/>
      <c r="AQ39" s="144"/>
      <c r="AR39" s="146"/>
      <c r="AS39" s="146"/>
      <c r="AU39" s="146"/>
      <c r="AV39" s="146"/>
      <c r="AW39" s="146"/>
      <c r="AX39" s="146"/>
      <c r="AY39" s="146"/>
      <c r="AZ39" s="146"/>
      <c r="BA39" s="146"/>
      <c r="BB39" s="146"/>
      <c r="BC39" s="146"/>
      <c r="BE39" s="146"/>
      <c r="BF39" s="146"/>
      <c r="BG39" s="146"/>
      <c r="BH39" s="146"/>
      <c r="BI39" s="146"/>
      <c r="BJ39" s="146"/>
      <c r="BK39" s="89"/>
      <c r="BL39" s="146"/>
      <c r="BM39" s="146"/>
      <c r="BN39" s="146"/>
    </row>
    <row r="40" spans="2:66" s="136" customFormat="1">
      <c r="B40" s="155"/>
      <c r="C40" s="152"/>
      <c r="D40" s="152"/>
      <c r="E40" s="152"/>
      <c r="F40" s="167"/>
      <c r="G40" s="172"/>
      <c r="H40" s="17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2:66" s="136" customFormat="1">
      <c r="B41" s="155"/>
      <c r="C41" s="151"/>
      <c r="D41" s="152"/>
      <c r="E41" s="152"/>
      <c r="F41" s="167"/>
      <c r="G41" s="172"/>
      <c r="H41" s="17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2:66" s="136" customFormat="1">
      <c r="B42" s="155"/>
      <c r="C42" s="152"/>
      <c r="D42" s="152"/>
      <c r="E42" s="152"/>
      <c r="F42" s="167"/>
      <c r="G42" s="172"/>
      <c r="H42" s="17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2:66" s="136" customFormat="1">
      <c r="B43" s="155"/>
      <c r="C43" s="152"/>
      <c r="D43" s="152"/>
      <c r="E43" s="152"/>
      <c r="F43" s="167"/>
      <c r="G43" s="172"/>
      <c r="H43" s="17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2:66" s="136" customFormat="1">
      <c r="B44" s="168"/>
      <c r="C44" s="152"/>
      <c r="D44" s="152"/>
      <c r="E44" s="152"/>
      <c r="F44" s="167"/>
      <c r="G44" s="169"/>
      <c r="H44" s="17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2:66" s="136" customFormat="1">
      <c r="B45" s="168"/>
      <c r="C45" s="152"/>
      <c r="D45" s="152"/>
      <c r="E45" s="152"/>
      <c r="F45" s="167"/>
      <c r="G45" s="169"/>
      <c r="H45" s="17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2:66" s="136" customFormat="1">
      <c r="B46" s="168"/>
      <c r="C46" s="152"/>
      <c r="D46" s="152"/>
      <c r="E46" s="152"/>
      <c r="F46" s="167"/>
      <c r="G46" s="169"/>
      <c r="H46" s="17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2:66" s="136" customFormat="1">
      <c r="B47" s="168"/>
      <c r="C47" s="152"/>
      <c r="D47" s="152"/>
      <c r="E47" s="152"/>
      <c r="F47" s="167"/>
      <c r="G47" s="169"/>
      <c r="H47" s="17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2:66" s="136" customFormat="1">
      <c r="B48" s="155"/>
      <c r="C48" s="152"/>
      <c r="D48" s="152"/>
      <c r="E48" s="152"/>
      <c r="F48" s="167"/>
      <c r="G48" s="172"/>
      <c r="H48" s="17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2:66" s="136" customFormat="1">
      <c r="B49" s="155"/>
      <c r="C49" s="152"/>
      <c r="D49" s="152"/>
      <c r="E49" s="152"/>
      <c r="F49" s="167"/>
      <c r="G49" s="172"/>
      <c r="H49" s="17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2:66" s="136" customFormat="1">
      <c r="B50" s="155"/>
      <c r="C50" s="152"/>
      <c r="D50" s="152"/>
      <c r="E50" s="152"/>
      <c r="F50" s="167"/>
      <c r="G50" s="172"/>
      <c r="H50" s="17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2:66" s="136" customFormat="1">
      <c r="B51" s="155"/>
      <c r="C51" s="152"/>
      <c r="D51" s="152"/>
      <c r="E51" s="152"/>
      <c r="F51" s="167"/>
      <c r="G51" s="172"/>
      <c r="H51" s="17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2:66" s="136" customFormat="1">
      <c r="B52" s="168"/>
      <c r="C52" s="152"/>
      <c r="D52" s="152"/>
      <c r="E52" s="152"/>
      <c r="F52" s="167"/>
      <c r="G52" s="169"/>
      <c r="H52" s="17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2:66" s="136" customFormat="1">
      <c r="B53" s="168"/>
      <c r="C53" s="152"/>
      <c r="D53" s="152"/>
      <c r="E53" s="152"/>
      <c r="F53" s="167"/>
      <c r="G53" s="169"/>
      <c r="H53" s="17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2:66" s="136" customFormat="1">
      <c r="B54" s="155"/>
      <c r="C54" s="151"/>
      <c r="D54" s="152"/>
      <c r="E54" s="152"/>
      <c r="F54" s="167"/>
      <c r="G54" s="172"/>
      <c r="H54" s="17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2:66" s="136" customFormat="1">
      <c r="B55" s="155"/>
      <c r="C55" s="151"/>
      <c r="D55" s="152"/>
      <c r="E55" s="152"/>
      <c r="F55" s="167"/>
      <c r="G55" s="172"/>
      <c r="H55" s="17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2:66" s="136" customFormat="1">
      <c r="B56" s="146"/>
      <c r="C56" s="146"/>
      <c r="D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2:66" s="136" customFormat="1">
      <c r="B57" s="146"/>
      <c r="C57" s="146"/>
      <c r="D57" s="11"/>
      <c r="E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2:66" s="136" customFormat="1">
      <c r="B58" s="146"/>
      <c r="C58" s="146"/>
      <c r="D58" s="11"/>
      <c r="E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2:66" s="136" customFormat="1">
      <c r="B59" s="146"/>
      <c r="C59" s="146"/>
      <c r="D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2:66" s="136" customFormat="1">
      <c r="B60" s="146"/>
      <c r="C60" s="146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2:66" s="136" customFormat="1">
      <c r="B61" s="146"/>
      <c r="C61" s="146"/>
      <c r="D61" s="11"/>
      <c r="E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2:66" s="136" customFormat="1">
      <c r="B62" s="146"/>
      <c r="C62" s="146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2:66" s="136" customFormat="1">
      <c r="B63" s="146"/>
      <c r="C63" s="146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2:66" s="136" customFormat="1">
      <c r="B64" s="146"/>
      <c r="C64" s="146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2:66" s="136" customFormat="1">
      <c r="B65" s="146"/>
      <c r="C65" s="146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2:66" s="136" customFormat="1">
      <c r="B66" s="146"/>
      <c r="C66" s="146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2:66" s="136" customFormat="1">
      <c r="B67" s="146"/>
      <c r="C67" s="146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2:66" s="136" customFormat="1">
      <c r="B68" s="146"/>
      <c r="C68" s="146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2:66" s="136" customFormat="1">
      <c r="B69" s="146"/>
      <c r="C69" s="146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2:66" s="136" customFormat="1">
      <c r="B70" s="146"/>
      <c r="C70" s="146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2:66" s="136" customFormat="1">
      <c r="B71" s="146"/>
      <c r="C71" s="146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2:66" s="136" customFormat="1">
      <c r="B72" s="146"/>
      <c r="C72" s="146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2:66" s="136" customFormat="1">
      <c r="B73" s="146"/>
      <c r="C73" s="146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2:66" s="136" customFormat="1">
      <c r="B74" s="146"/>
      <c r="C74" s="146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2:66" s="136" customFormat="1">
      <c r="B75" s="146"/>
      <c r="C75" s="146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2:66" s="136" customFormat="1">
      <c r="B76" s="146"/>
      <c r="C76" s="146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2:66" s="136" customFormat="1">
      <c r="B77" s="146"/>
      <c r="C77" s="146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2:66" s="136" customFormat="1">
      <c r="B78" s="146"/>
      <c r="C78" s="146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2:66" s="136" customFormat="1">
      <c r="B79" s="146"/>
      <c r="C79" s="146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2:66" s="136" customFormat="1">
      <c r="B80" s="146"/>
      <c r="C80" s="146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2:66" s="136" customFormat="1">
      <c r="B81" s="146"/>
      <c r="C81" s="146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2:66" s="136" customFormat="1">
      <c r="B82" s="146"/>
      <c r="C82" s="146"/>
      <c r="D82" s="11"/>
      <c r="E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2:66" s="136" customFormat="1">
      <c r="B83" s="146"/>
      <c r="C83" s="146"/>
      <c r="D83" s="11"/>
      <c r="E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2:66" s="136" customFormat="1">
      <c r="B84" s="146"/>
      <c r="C84" s="146"/>
      <c r="D84" s="11"/>
      <c r="E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2:66" s="136" customFormat="1">
      <c r="B85" s="146"/>
      <c r="C85" s="146"/>
      <c r="D85" s="11"/>
      <c r="E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2:66" s="136" customFormat="1">
      <c r="B86" s="146"/>
      <c r="C86" s="146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2:66" s="136" customFormat="1">
      <c r="B87" s="146"/>
      <c r="C87" s="146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2:66" s="136" customFormat="1">
      <c r="B88" s="146"/>
      <c r="C88" s="146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2:66" s="136" customFormat="1">
      <c r="B89" s="146"/>
      <c r="C89" s="146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2:66" s="136" customFormat="1">
      <c r="B90" s="146"/>
      <c r="C90" s="146"/>
      <c r="D90" s="11"/>
      <c r="E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2:66" s="136" customFormat="1">
      <c r="B91" s="146"/>
      <c r="C91" s="146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2:66" s="136" customFormat="1">
      <c r="B92" s="146"/>
      <c r="C92" s="146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2:66" s="136" customFormat="1">
      <c r="B93" s="146"/>
      <c r="C93" s="146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2:66" s="136" customFormat="1">
      <c r="B94" s="146"/>
      <c r="C94" s="146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2:66" s="136" customFormat="1">
      <c r="B95" s="146"/>
      <c r="C95" s="146"/>
      <c r="D95" s="11"/>
      <c r="E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2:66" s="136" customFormat="1">
      <c r="B96" s="146"/>
      <c r="C96" s="146"/>
      <c r="D96" s="11"/>
      <c r="E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2:66" s="136" customFormat="1">
      <c r="B97" s="146"/>
      <c r="C97" s="146"/>
      <c r="D97" s="11"/>
      <c r="E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2:66" s="136" customFormat="1">
      <c r="B98" s="146"/>
      <c r="C98" s="146"/>
      <c r="D98" s="11"/>
      <c r="E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2:66" s="136" customFormat="1">
      <c r="B99" s="146"/>
      <c r="C99" s="146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2:66" s="136" customFormat="1">
      <c r="B100" s="146"/>
      <c r="C100" s="146"/>
      <c r="D100" s="11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2:66" s="136" customFormat="1">
      <c r="B101" s="146"/>
      <c r="C101" s="146"/>
      <c r="D101" s="11"/>
      <c r="E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2:66" s="136" customFormat="1">
      <c r="B102" s="146"/>
      <c r="C102" s="146"/>
      <c r="D102" s="11"/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2:66" s="136" customFormat="1">
      <c r="B103" s="146"/>
      <c r="C103" s="146"/>
      <c r="D103" s="11"/>
      <c r="E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2:66" s="136" customFormat="1">
      <c r="B104" s="146"/>
      <c r="C104" s="146"/>
      <c r="D104" s="11"/>
      <c r="E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2:66" s="136" customFormat="1">
      <c r="B105" s="146"/>
      <c r="C105" s="146"/>
      <c r="D105" s="11"/>
      <c r="E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2:66" s="136" customFormat="1">
      <c r="B106" s="146"/>
      <c r="C106" s="146"/>
      <c r="D106" s="11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2:66" s="136" customFormat="1">
      <c r="B107" s="146"/>
      <c r="C107" s="146"/>
      <c r="D107" s="11"/>
      <c r="E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2:66" s="136" customFormat="1">
      <c r="B108" s="146"/>
      <c r="C108" s="146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2:66" s="136" customFormat="1">
      <c r="B109" s="146"/>
      <c r="C109" s="146"/>
      <c r="D109" s="11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2:66" s="136" customFormat="1">
      <c r="B110" s="146"/>
      <c r="C110" s="146"/>
      <c r="D110" s="11"/>
      <c r="E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2:66" s="136" customFormat="1">
      <c r="B111" s="146"/>
      <c r="C111" s="146"/>
      <c r="D111" s="11"/>
      <c r="E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2:66" s="136" customFormat="1">
      <c r="B112" s="146"/>
      <c r="C112" s="146"/>
      <c r="D112" s="11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2:66" s="136" customFormat="1">
      <c r="B113" s="146"/>
      <c r="C113" s="146"/>
      <c r="D113" s="11"/>
      <c r="E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2:66" s="136" customFormat="1">
      <c r="B114" s="146"/>
      <c r="C114" s="146"/>
      <c r="D114" s="11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2:66" s="136" customFormat="1">
      <c r="B115" s="146"/>
      <c r="C115" s="146"/>
      <c r="D115" s="11"/>
      <c r="E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2:66" s="136" customFormat="1">
      <c r="B116" s="146"/>
      <c r="C116" s="146"/>
      <c r="D116" s="11"/>
      <c r="E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2:66" s="136" customFormat="1">
      <c r="B117" s="146"/>
      <c r="C117" s="146"/>
      <c r="D117" s="11"/>
      <c r="E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2:66" s="136" customFormat="1">
      <c r="B118" s="146"/>
      <c r="C118" s="146"/>
      <c r="D118" s="11"/>
      <c r="E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2:66" s="136" customFormat="1">
      <c r="B119" s="146"/>
      <c r="C119" s="146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2:66" s="136" customFormat="1">
      <c r="B120" s="146"/>
      <c r="C120" s="146"/>
      <c r="D120" s="11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2:66" s="136" customFormat="1">
      <c r="B121" s="146"/>
      <c r="C121" s="146"/>
      <c r="D121" s="11"/>
      <c r="E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2:66" s="136" customFormat="1">
      <c r="B122" s="146"/>
      <c r="C122" s="146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2:66" s="136" customFormat="1">
      <c r="B123" s="146"/>
      <c r="C123" s="146"/>
      <c r="D123" s="11"/>
      <c r="E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2:66" s="136" customFormat="1">
      <c r="B124" s="146"/>
      <c r="C124" s="146"/>
      <c r="D124" s="11"/>
      <c r="E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2:66" s="136" customFormat="1">
      <c r="B125" s="146"/>
      <c r="C125" s="146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2:66" s="136" customFormat="1">
      <c r="B126" s="146"/>
      <c r="C126" s="146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2:66" s="136" customFormat="1">
      <c r="B127" s="146"/>
      <c r="C127" s="146"/>
      <c r="D127" s="11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2:66" s="136" customFormat="1">
      <c r="B128" s="146"/>
      <c r="C128" s="146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2:66" s="136" customFormat="1">
      <c r="B129" s="146"/>
      <c r="C129" s="146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2:66" s="136" customFormat="1">
      <c r="B130" s="146"/>
      <c r="C130" s="146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2:66" s="136" customFormat="1">
      <c r="B131" s="146"/>
      <c r="C131" s="146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2:66" s="136" customFormat="1">
      <c r="B132" s="146"/>
      <c r="C132" s="146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2:66" s="136" customFormat="1">
      <c r="B133" s="146"/>
      <c r="C133" s="146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2:66" s="136" customFormat="1">
      <c r="B134" s="146"/>
      <c r="C134" s="146"/>
      <c r="D134" s="11"/>
      <c r="E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2:66" s="136" customFormat="1">
      <c r="B135" s="146"/>
      <c r="C135" s="146"/>
      <c r="D135" s="11"/>
      <c r="E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2:66" s="136" customFormat="1">
      <c r="B136" s="146"/>
      <c r="C136" s="146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2:66" s="136" customFormat="1">
      <c r="B137" s="146"/>
      <c r="C137" s="146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2:66" s="136" customFormat="1">
      <c r="B138" s="146"/>
      <c r="C138" s="146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2:66" s="136" customFormat="1">
      <c r="B139" s="146"/>
      <c r="C139" s="146"/>
      <c r="D139" s="11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2:66" s="136" customFormat="1">
      <c r="B140" s="146"/>
      <c r="C140" s="146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2:66" s="136" customFormat="1">
      <c r="B141" s="146"/>
      <c r="C141" s="146"/>
      <c r="D141" s="11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2:66" s="136" customFormat="1">
      <c r="B142" s="146"/>
      <c r="C142" s="146"/>
      <c r="D142" s="11"/>
      <c r="E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2:66" s="136" customFormat="1">
      <c r="B143" s="146"/>
      <c r="C143" s="146"/>
      <c r="D143" s="11"/>
      <c r="E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2:66" s="136" customFormat="1">
      <c r="B144" s="146"/>
      <c r="C144" s="146"/>
      <c r="D144" s="11"/>
      <c r="E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2:66" s="136" customFormat="1">
      <c r="B145" s="146"/>
      <c r="C145" s="146"/>
      <c r="D145" s="11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2:66" s="136" customFormat="1">
      <c r="B146" s="146"/>
      <c r="C146" s="146"/>
      <c r="D146" s="11"/>
      <c r="E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2:66" s="136" customFormat="1">
      <c r="B147" s="146"/>
      <c r="C147" s="146"/>
      <c r="D147" s="11"/>
      <c r="E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2:66" s="136" customFormat="1">
      <c r="B148" s="146"/>
      <c r="C148" s="146"/>
      <c r="D148" s="11"/>
      <c r="E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  <row r="149" spans="2:66" s="136" customFormat="1">
      <c r="B149" s="146"/>
      <c r="C149" s="146"/>
      <c r="D149" s="11"/>
      <c r="E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2:66" s="136" customFormat="1">
      <c r="B150" s="146"/>
      <c r="C150" s="146"/>
      <c r="D150" s="11"/>
      <c r="E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2:66" s="136" customFormat="1">
      <c r="B151" s="146"/>
      <c r="C151" s="146"/>
      <c r="D151" s="11"/>
      <c r="E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2:66" s="136" customFormat="1">
      <c r="B152" s="146"/>
      <c r="C152" s="146"/>
      <c r="D152" s="11"/>
      <c r="E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2:66" s="136" customFormat="1">
      <c r="B153" s="146"/>
      <c r="C153" s="146"/>
      <c r="D153" s="11"/>
      <c r="E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2:66" s="136" customFormat="1">
      <c r="B154" s="146"/>
      <c r="C154" s="146"/>
      <c r="D154" s="11"/>
      <c r="E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  <row r="155" spans="2:66" s="136" customFormat="1">
      <c r="B155" s="146"/>
      <c r="C155" s="146"/>
      <c r="D155" s="11"/>
      <c r="E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</row>
    <row r="156" spans="2:66" s="136" customFormat="1">
      <c r="B156" s="146"/>
      <c r="C156" s="146"/>
      <c r="D156" s="11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</row>
    <row r="157" spans="2:66" s="136" customFormat="1">
      <c r="B157" s="146"/>
      <c r="C157" s="146"/>
      <c r="D157" s="11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</row>
    <row r="158" spans="2:66" s="136" customFormat="1">
      <c r="B158" s="146"/>
      <c r="C158" s="146"/>
      <c r="D158" s="11"/>
      <c r="E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</row>
  </sheetData>
  <mergeCells count="8">
    <mergeCell ref="AT22:AX22"/>
    <mergeCell ref="AR4:AS4"/>
    <mergeCell ref="AT4:AX4"/>
    <mergeCell ref="AY4:BC4"/>
    <mergeCell ref="BD4:BK4"/>
    <mergeCell ref="AT6:AX6"/>
    <mergeCell ref="AT9:AX9"/>
    <mergeCell ref="AT13:AX13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26</vt:i4>
      </vt:variant>
    </vt:vector>
  </HeadingPairs>
  <TitlesOfParts>
    <vt:vector size="43" baseType="lpstr">
      <vt:lpstr>July 15</vt:lpstr>
      <vt:lpstr>June 25</vt:lpstr>
      <vt:lpstr>June 1</vt:lpstr>
      <vt:lpstr>May 23</vt:lpstr>
      <vt:lpstr>May 1</vt:lpstr>
      <vt:lpstr>April 1</vt:lpstr>
      <vt:lpstr>Mar 15</vt:lpstr>
      <vt:lpstr>Mar 1</vt:lpstr>
      <vt:lpstr>Feb 15</vt:lpstr>
      <vt:lpstr>Feb 1</vt:lpstr>
      <vt:lpstr>Jan 1</vt:lpstr>
      <vt:lpstr>Dec 1</vt:lpstr>
      <vt:lpstr>Oct 15</vt:lpstr>
      <vt:lpstr>July-Sept 2013 </vt:lpstr>
      <vt:lpstr>March 2013</vt:lpstr>
      <vt:lpstr>Dec-Feb 2012-13  </vt:lpstr>
      <vt:lpstr>Nov 2012</vt:lpstr>
      <vt:lpstr>'April 1'!Print_Area</vt:lpstr>
      <vt:lpstr>'Feb 15'!Print_Area</vt:lpstr>
      <vt:lpstr>'July 15'!Print_Area</vt:lpstr>
      <vt:lpstr>'June 1'!Print_Area</vt:lpstr>
      <vt:lpstr>'June 25'!Print_Area</vt:lpstr>
      <vt:lpstr>'Mar 1'!Print_Area</vt:lpstr>
      <vt:lpstr>'Mar 15'!Print_Area</vt:lpstr>
      <vt:lpstr>'May 1'!Print_Area</vt:lpstr>
      <vt:lpstr>'May 23'!Print_Area</vt:lpstr>
      <vt:lpstr>'April 1'!Print_Titles</vt:lpstr>
      <vt:lpstr>'Dec 1'!Print_Titles</vt:lpstr>
      <vt:lpstr>'Dec-Feb 2012-13  '!Print_Titles</vt:lpstr>
      <vt:lpstr>'Feb 1'!Print_Titles</vt:lpstr>
      <vt:lpstr>'Feb 15'!Print_Titles</vt:lpstr>
      <vt:lpstr>'Jan 1'!Print_Titles</vt:lpstr>
      <vt:lpstr>'July 15'!Print_Titles</vt:lpstr>
      <vt:lpstr>'July-Sept 2013 '!Print_Titles</vt:lpstr>
      <vt:lpstr>'June 1'!Print_Titles</vt:lpstr>
      <vt:lpstr>'June 25'!Print_Titles</vt:lpstr>
      <vt:lpstr>'Mar 1'!Print_Titles</vt:lpstr>
      <vt:lpstr>'Mar 15'!Print_Titles</vt:lpstr>
      <vt:lpstr>'March 2013'!Print_Titles</vt:lpstr>
      <vt:lpstr>'May 1'!Print_Titles</vt:lpstr>
      <vt:lpstr>'May 23'!Print_Titles</vt:lpstr>
      <vt:lpstr>'Nov 2012'!Print_Titles</vt:lpstr>
      <vt:lpstr>'Oct 15'!Print_Titles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Gobrogge, Layne R.</cp:lastModifiedBy>
  <cp:lastPrinted>2014-06-05T18:52:12Z</cp:lastPrinted>
  <dcterms:created xsi:type="dcterms:W3CDTF">2011-05-02T14:58:46Z</dcterms:created>
  <dcterms:modified xsi:type="dcterms:W3CDTF">2014-07-17T11:11:02Z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